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1340" windowHeight="60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<sst xmlns="http://schemas.openxmlformats.org/spreadsheetml/2006/main" count="159" uniqueCount="124">
  <si>
    <t>bi. 6</t>
  </si>
  <si>
    <t>RESULTATBUDGET</t>
  </si>
  <si>
    <t>Pessimist</t>
  </si>
  <si>
    <t>Normal</t>
  </si>
  <si>
    <t>Optimist</t>
  </si>
  <si>
    <t>Tullavgift</t>
  </si>
  <si>
    <t>Produktion / Kapacitet</t>
  </si>
  <si>
    <t xml:space="preserve">5 arbetsdagar per vecka                       Ton/vecka </t>
  </si>
  <si>
    <t>Arbetskraft:</t>
  </si>
  <si>
    <t>Antal arbetare / dygn</t>
  </si>
  <si>
    <t>Summa</t>
  </si>
  <si>
    <t>Lokal</t>
  </si>
  <si>
    <t>Reklam:Prudoktion</t>
  </si>
  <si>
    <t>Resultat ef. avskrivningar</t>
  </si>
  <si>
    <t>Resultat ef. Kapit.kostnader</t>
  </si>
  <si>
    <t>bi. 7</t>
  </si>
  <si>
    <t>Kont.nr</t>
  </si>
  <si>
    <t>BAS 80</t>
  </si>
  <si>
    <t>Materialkostnader</t>
  </si>
  <si>
    <t>Tull avgift.</t>
  </si>
  <si>
    <t>Traktamenten</t>
  </si>
  <si>
    <t>Andra kollektiva avgifter</t>
  </si>
  <si>
    <t>Summa arbetskraftskostnader              Tkr</t>
  </si>
  <si>
    <t>Lokalhyra</t>
  </si>
  <si>
    <t>El, olja, vatten</t>
  </si>
  <si>
    <t>Kontorsmaterial och trycksaker</t>
  </si>
  <si>
    <t>Avgifter (branschorganisation)</t>
  </si>
  <si>
    <t>Telefon, fax och porto</t>
  </si>
  <si>
    <t xml:space="preserve">Bilomkostnader </t>
  </si>
  <si>
    <t>Leasingbil</t>
  </si>
  <si>
    <t>Frakter och transporter</t>
  </si>
  <si>
    <t>Represenation</t>
  </si>
  <si>
    <t>Reklam</t>
  </si>
  <si>
    <t>Garantikostnader</t>
  </si>
  <si>
    <t>Avskrivningar</t>
  </si>
  <si>
    <t>Resultat ef. avskrivningar            Tkr</t>
  </si>
  <si>
    <t>Företagsledare</t>
  </si>
  <si>
    <t>Resu före avskrivningar                 Tkr</t>
  </si>
  <si>
    <t>Result.ef.kap.kost/ Rörelse intäkt    %</t>
  </si>
  <si>
    <t>Rörelseintäkter</t>
  </si>
  <si>
    <t xml:space="preserve">Rå ris inköp </t>
  </si>
  <si>
    <t>Förpacknings material</t>
  </si>
  <si>
    <t>Bruttovinst/Rörelseintäkter%</t>
  </si>
  <si>
    <t>Kostnader för arbetskraft</t>
  </si>
  <si>
    <t>Löner till arbet.(11/12,5/13/13,5/14/mån) (4må/9må)</t>
  </si>
  <si>
    <t>Löner till tjänstemän(14/18/20/mån), 12 mån</t>
  </si>
  <si>
    <t>Löner till företagsledare (18/20/22/25/mån),12mån</t>
  </si>
  <si>
    <t>Förmåner till anställda</t>
  </si>
  <si>
    <t>Bilersättning och resekostnader</t>
  </si>
  <si>
    <t>Arbetsgivaravgifter för anstälda</t>
  </si>
  <si>
    <t>Pantionsförsäkringar</t>
  </si>
  <si>
    <t>Övriga personalkostnader</t>
  </si>
  <si>
    <t>Övriga kostnader</t>
  </si>
  <si>
    <t>Övriga lokalkostnader</t>
  </si>
  <si>
    <t>Förbrukningsverktyg / inventarier</t>
  </si>
  <si>
    <t>Förbrukningsmaterial</t>
  </si>
  <si>
    <t>Reparation och underhåll</t>
  </si>
  <si>
    <t>Bokföring och deklaration</t>
  </si>
  <si>
    <t>Försäljningsprovisioner</t>
  </si>
  <si>
    <t>Försäkringspremier</t>
  </si>
  <si>
    <t>Kundförluster</t>
  </si>
  <si>
    <t>Diverse övriga kostnader</t>
  </si>
  <si>
    <t>På inventarier(100 Tkr under 5 år)</t>
  </si>
  <si>
    <t>Byggnadsinventarier (300 Tkr under 5 år)</t>
  </si>
  <si>
    <t>Result.ef.kap.kost/ Rörelse intäkt %</t>
  </si>
  <si>
    <t>Bases:</t>
  </si>
  <si>
    <t>1 kg o. 2 kg/påse 35%  av råris       kr / kg</t>
  </si>
  <si>
    <t>5 kg o.10 kg/kolli 20%  av råris      kr / kg</t>
  </si>
  <si>
    <t xml:space="preserve">Ris försälj.(1-2 kg/på) 35%  av råris </t>
  </si>
  <si>
    <t xml:space="preserve">Ris försälj.(5 -10 kg/ko.) 20%  av råris </t>
  </si>
  <si>
    <t>Ris försäljn.(Bran ris ) 10%  av råris</t>
  </si>
  <si>
    <t>Summa intäkter</t>
  </si>
  <si>
    <t xml:space="preserve">Produktion / Tim                                    Ton/tim  </t>
  </si>
  <si>
    <t>Kr/MT</t>
  </si>
  <si>
    <t>Kr/Kg</t>
  </si>
  <si>
    <t>Summa materialkostnader</t>
  </si>
  <si>
    <t>BRUTTOVINST</t>
  </si>
  <si>
    <t xml:space="preserve">Inköpspris  råris </t>
  </si>
  <si>
    <t>C&amp;F   50 Kg/ kolli   ex.moms    USD/Ton</t>
  </si>
  <si>
    <t>Kli  10% av råris                           Kr / kg</t>
  </si>
  <si>
    <t xml:space="preserve"> År  3</t>
  </si>
  <si>
    <t xml:space="preserve"> År  2</t>
  </si>
  <si>
    <t>Genomsnitt kr/kg.</t>
  </si>
  <si>
    <t xml:space="preserve">Försäljningspris kr/kg </t>
  </si>
  <si>
    <t xml:space="preserve">Inköpspris  (råris)  </t>
  </si>
  <si>
    <t>I kris Sit.</t>
  </si>
  <si>
    <t xml:space="preserve"> År</t>
  </si>
  <si>
    <t>Summa         antal personer</t>
  </si>
  <si>
    <t>ton/ton</t>
  </si>
  <si>
    <t xml:space="preserve">Köpa tjänster </t>
  </si>
  <si>
    <t>Transport                         kr/ton</t>
  </si>
  <si>
    <t>Summa övriga kostnader              Tkr</t>
  </si>
  <si>
    <t>Resu före avskrivningar                                    Tkr</t>
  </si>
  <si>
    <t>Summa               Tkr</t>
  </si>
  <si>
    <t>Frakter och transporter:</t>
  </si>
  <si>
    <t>Förpacknings material:</t>
  </si>
  <si>
    <t>Avskrivningar:</t>
  </si>
  <si>
    <t xml:space="preserve">Kapitalkostnader : </t>
  </si>
  <si>
    <t xml:space="preserve">Kostnader för arbetskraft / 1 kg råvaro </t>
  </si>
  <si>
    <t>Kr / Kg av råvaro</t>
  </si>
  <si>
    <t>råvaro pris (utan Tu., Tr., Fö)</t>
  </si>
  <si>
    <t>Övriga kostnader (utan rek. O. hyra):</t>
  </si>
  <si>
    <t>Resultat ef. Kapit.kostnader      Tkr</t>
  </si>
  <si>
    <t>Frakter och transporter I lager</t>
  </si>
  <si>
    <t>Kapitalkostnader och ...(4600 Tkr)      Tkr</t>
  </si>
  <si>
    <t>Ton/dygn(1 år 4,5tim a/dygn och 3 året 4,5 t.a.+40%)</t>
  </si>
  <si>
    <t>Total transport       Kkr</t>
  </si>
  <si>
    <t>Lager: 150 m2+200m2+150m2 :500m2     Kkr / år</t>
  </si>
  <si>
    <t>Kontor  Ca. 60 m2                                      Kkr/ år</t>
  </si>
  <si>
    <t>summa                 Kkr / år</t>
  </si>
  <si>
    <t>100% helt vitt ris 46 v./år (18 och 36 v./år) ton / år</t>
  </si>
  <si>
    <t>Kapacitet    på   Råris                Ton / år</t>
  </si>
  <si>
    <t>Reklam:Produktion</t>
  </si>
  <si>
    <t>1997 09 10  Ecu /ton   (se bi. 5)      Ecu / ton</t>
  </si>
  <si>
    <t>Tjänstemän</t>
  </si>
  <si>
    <t>Kr/USD 990709                    Kr / Ton</t>
  </si>
  <si>
    <t>kr/ecu 990709         Kr / Ton</t>
  </si>
  <si>
    <t xml:space="preserve">Ris försäljn.(Brutit ris) 10%  av råris </t>
  </si>
  <si>
    <t xml:space="preserve">Ris försälj.( 20 kg/kol) 25%  av råris </t>
  </si>
  <si>
    <t>Brutetris 10% av råris                   kr / kg</t>
  </si>
  <si>
    <t>20 o. 22 kg /kolli  25% av råris      kr / kg</t>
  </si>
  <si>
    <t>På truckmachiner ... ( 100 Tkr under 5 år)</t>
  </si>
  <si>
    <t>Brutet ris och kli 10% av råris               Ton / år</t>
  </si>
  <si>
    <t>På maskiner (3.100 Tkr under 8 år)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</si>
</sst>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%"/>
  </numFmts>
  <fonts count="6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10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right"/>
    </xf>
    <xf numFmtId="1" fontId="1" fillId="0" borderId="1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" fontId="0" fillId="0" borderId="0" xfId="0" applyNumberFormat="1" applyAlignment="1">
      <alignment/>
    </xf>
    <xf numFmtId="10" fontId="1" fillId="0" borderId="2" xfId="0" applyNumberFormat="1" applyFont="1" applyBorder="1" applyAlignment="1">
      <alignment/>
    </xf>
    <xf numFmtId="10" fontId="1" fillId="0" borderId="1" xfId="0" applyNumberFormat="1" applyFont="1" applyBorder="1" applyAlignment="1">
      <alignment/>
    </xf>
    <xf numFmtId="10" fontId="1" fillId="0" borderId="3" xfId="0" applyNumberFormat="1" applyFont="1" applyBorder="1" applyAlignment="1">
      <alignment/>
    </xf>
    <xf numFmtId="2" fontId="1" fillId="0" borderId="2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2" fontId="1" fillId="0" borderId="3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Alignment="1">
      <alignment horizontal="right"/>
    </xf>
    <xf numFmtId="1" fontId="2" fillId="0" borderId="2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1" fontId="2" fillId="0" borderId="3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1" fontId="1" fillId="0" borderId="2" xfId="0" applyNumberFormat="1" applyFont="1" applyBorder="1" applyAlignment="1">
      <alignment/>
    </xf>
    <xf numFmtId="1" fontId="1" fillId="0" borderId="3" xfId="0" applyNumberFormat="1" applyFont="1" applyBorder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/>
    </xf>
    <xf numFmtId="164" fontId="1" fillId="0" borderId="2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" fontId="3" fillId="0" borderId="0" xfId="0" applyNumberFormat="1" applyFont="1" applyBorder="1" applyAlignment="1">
      <alignment/>
    </xf>
    <xf numFmtId="10" fontId="1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1"/>
  <sheetViews>
    <sheetView tabSelected="1" workbookViewId="0" topLeftCell="A1">
      <selection activeCell="H55" sqref="H55"/>
    </sheetView>
  </sheetViews>
  <sheetFormatPr defaultColWidth="9.140625" defaultRowHeight="12.75"/>
  <cols>
    <col min="1" max="1" width="6.28125" style="0" bestFit="1" customWidth="1"/>
    <col min="2" max="2" width="36.57421875" style="0" customWidth="1"/>
    <col min="3" max="3" width="8.00390625" style="0" customWidth="1"/>
    <col min="4" max="4" width="7.140625" style="0" customWidth="1"/>
    <col min="5" max="5" width="6.140625" style="0" customWidth="1"/>
    <col min="6" max="6" width="6.8515625" style="0" customWidth="1"/>
    <col min="7" max="7" width="6.140625" style="0" customWidth="1"/>
    <col min="8" max="8" width="7.421875" style="0" bestFit="1" customWidth="1"/>
    <col min="9" max="9" width="7.421875" style="0" customWidth="1"/>
    <col min="10" max="10" width="27.00390625" style="0" bestFit="1" customWidth="1"/>
    <col min="11" max="15" width="7.00390625" style="0" customWidth="1"/>
    <col min="16" max="16" width="6.140625" style="0" customWidth="1"/>
  </cols>
  <sheetData>
    <row r="1" spans="1:10" ht="13.5" thickBot="1">
      <c r="A1" s="1" t="s">
        <v>0</v>
      </c>
      <c r="B1" s="1"/>
      <c r="C1" s="1"/>
      <c r="D1" s="1" t="s">
        <v>1</v>
      </c>
      <c r="E1" s="1"/>
      <c r="F1" s="1"/>
      <c r="G1" s="1"/>
      <c r="H1" s="1"/>
      <c r="I1" s="1"/>
      <c r="J1" s="1"/>
    </row>
    <row r="2" spans="1:10" ht="13.5" thickBot="1">
      <c r="A2" s="1"/>
      <c r="B2" s="1" t="s">
        <v>65</v>
      </c>
      <c r="C2" s="18"/>
      <c r="D2" s="29" t="s">
        <v>86</v>
      </c>
      <c r="E2" s="30">
        <v>1</v>
      </c>
      <c r="F2" s="19"/>
      <c r="G2" s="20" t="s">
        <v>81</v>
      </c>
      <c r="H2" s="20" t="s">
        <v>80</v>
      </c>
      <c r="I2" s="41"/>
      <c r="J2" s="1"/>
    </row>
    <row r="3" spans="1:16" ht="13.5" thickBot="1">
      <c r="A3" s="1"/>
      <c r="B3" s="1"/>
      <c r="C3" s="26" t="s">
        <v>85</v>
      </c>
      <c r="D3" s="27" t="s">
        <v>2</v>
      </c>
      <c r="E3" s="27" t="s">
        <v>3</v>
      </c>
      <c r="F3" s="27" t="s">
        <v>4</v>
      </c>
      <c r="G3" s="27" t="s">
        <v>3</v>
      </c>
      <c r="H3" s="28" t="s">
        <v>3</v>
      </c>
      <c r="I3" s="33"/>
      <c r="K3" s="18"/>
      <c r="L3" s="29" t="s">
        <v>86</v>
      </c>
      <c r="M3" s="30">
        <v>1</v>
      </c>
      <c r="N3" s="19"/>
      <c r="O3" s="20" t="s">
        <v>81</v>
      </c>
      <c r="P3" s="20" t="s">
        <v>80</v>
      </c>
    </row>
    <row r="4" spans="2:16" ht="13.5" thickBot="1">
      <c r="B4" s="6" t="s">
        <v>77</v>
      </c>
      <c r="C4" s="1"/>
      <c r="D4" s="1"/>
      <c r="E4" s="1"/>
      <c r="F4" s="1"/>
      <c r="G4" s="1"/>
      <c r="H4" s="1"/>
      <c r="I4" s="1"/>
      <c r="K4" s="26" t="s">
        <v>85</v>
      </c>
      <c r="L4" s="27" t="s">
        <v>2</v>
      </c>
      <c r="M4" s="27" t="s">
        <v>3</v>
      </c>
      <c r="N4" s="27" t="s">
        <v>4</v>
      </c>
      <c r="O4" s="27" t="s">
        <v>3</v>
      </c>
      <c r="P4" s="28" t="s">
        <v>3</v>
      </c>
    </row>
    <row r="5" spans="1:16" ht="12.75">
      <c r="A5" s="1"/>
      <c r="B5" s="1" t="s">
        <v>78</v>
      </c>
      <c r="C5" s="1">
        <v>360</v>
      </c>
      <c r="D5" s="1">
        <v>355</v>
      </c>
      <c r="E5" s="1">
        <v>350</v>
      </c>
      <c r="F5" s="4">
        <f>E5*0.96</f>
        <v>336</v>
      </c>
      <c r="G5" s="4">
        <v>350</v>
      </c>
      <c r="H5" s="1">
        <v>350</v>
      </c>
      <c r="I5" s="1"/>
      <c r="J5" s="1"/>
      <c r="K5" s="1" t="s">
        <v>99</v>
      </c>
      <c r="L5" s="1"/>
      <c r="M5" s="1"/>
      <c r="N5" s="1"/>
      <c r="O5" s="1"/>
      <c r="P5" s="1"/>
    </row>
    <row r="6" spans="1:16" ht="12.75">
      <c r="A6" s="1">
        <v>8.54</v>
      </c>
      <c r="B6" s="1" t="s">
        <v>115</v>
      </c>
      <c r="C6" s="4">
        <f>A6*C5</f>
        <v>3074.3999999999996</v>
      </c>
      <c r="D6" s="4">
        <f>D5*A6</f>
        <v>3031.7</v>
      </c>
      <c r="E6" s="4">
        <f>E5*A6</f>
        <v>2988.9999999999995</v>
      </c>
      <c r="F6" s="4">
        <f>F5*A6</f>
        <v>2869.4399999999996</v>
      </c>
      <c r="G6" s="4">
        <f>G5*A6</f>
        <v>2988.9999999999995</v>
      </c>
      <c r="H6" s="4">
        <f>H5*A6</f>
        <v>2988.9999999999995</v>
      </c>
      <c r="I6" s="4"/>
      <c r="J6" s="1" t="s">
        <v>98</v>
      </c>
      <c r="K6" s="5">
        <f aca="true" t="shared" si="0" ref="K6:P6">C90/C37</f>
        <v>1.0368355555555555</v>
      </c>
      <c r="L6" s="5">
        <f t="shared" si="0"/>
        <v>0.7187155555555557</v>
      </c>
      <c r="M6" s="5">
        <f t="shared" si="0"/>
        <v>1.2586486956521743</v>
      </c>
      <c r="N6" s="5">
        <f t="shared" si="0"/>
        <v>1.2196695652173914</v>
      </c>
      <c r="O6" s="5">
        <f t="shared" si="0"/>
        <v>1.391513043478261</v>
      </c>
      <c r="P6" s="5">
        <f t="shared" si="0"/>
        <v>1.4369188405797102</v>
      </c>
    </row>
    <row r="7" spans="1:16" ht="12.75">
      <c r="A7" s="1"/>
      <c r="B7" s="1"/>
      <c r="C7" s="4"/>
      <c r="D7" s="4"/>
      <c r="E7" s="4"/>
      <c r="F7" s="4"/>
      <c r="G7" s="4"/>
      <c r="H7" s="4"/>
      <c r="I7" s="4"/>
      <c r="J7" s="1" t="s">
        <v>100</v>
      </c>
      <c r="K7" s="5">
        <f aca="true" t="shared" si="1" ref="K7:P7">C69/C37</f>
        <v>3.0744</v>
      </c>
      <c r="L7" s="5">
        <f t="shared" si="1"/>
        <v>3.0317000000000003</v>
      </c>
      <c r="M7" s="5">
        <f t="shared" si="1"/>
        <v>2.9889999999999994</v>
      </c>
      <c r="N7" s="5">
        <f t="shared" si="1"/>
        <v>2.8694399999999995</v>
      </c>
      <c r="O7" s="5">
        <f t="shared" si="1"/>
        <v>2.989</v>
      </c>
      <c r="P7" s="5">
        <f t="shared" si="1"/>
        <v>2.989</v>
      </c>
    </row>
    <row r="8" spans="1:16" ht="12.75">
      <c r="A8" s="1"/>
      <c r="B8" s="1"/>
      <c r="C8" s="4"/>
      <c r="D8" s="4"/>
      <c r="E8" s="4"/>
      <c r="F8" s="4"/>
      <c r="G8" s="4"/>
      <c r="H8" s="4"/>
      <c r="I8" s="4"/>
      <c r="J8" s="1" t="s">
        <v>19</v>
      </c>
      <c r="K8" s="5">
        <f aca="true" t="shared" si="2" ref="K8:P8">C72/C37</f>
        <v>2.1438539999999997</v>
      </c>
      <c r="L8" s="5">
        <f t="shared" si="2"/>
        <v>2.1438539999999997</v>
      </c>
      <c r="M8" s="5">
        <f t="shared" si="2"/>
        <v>2.1438539999999997</v>
      </c>
      <c r="N8" s="5">
        <f t="shared" si="2"/>
        <v>2.1438539999999997</v>
      </c>
      <c r="O8" s="5">
        <f t="shared" si="2"/>
        <v>2.2296081599999997</v>
      </c>
      <c r="P8" s="5">
        <f t="shared" si="2"/>
        <v>2.3582394</v>
      </c>
    </row>
    <row r="9" spans="2:16" ht="12.75">
      <c r="B9" s="6" t="s">
        <v>5</v>
      </c>
      <c r="C9" s="1"/>
      <c r="D9" s="1"/>
      <c r="E9" s="1"/>
      <c r="F9" s="1"/>
      <c r="G9" s="1"/>
      <c r="H9" s="1"/>
      <c r="I9" s="1"/>
      <c r="J9" s="1" t="s">
        <v>94</v>
      </c>
      <c r="K9" s="5">
        <f aca="true" t="shared" si="3" ref="K9:P9">(C70+C107)/C37</f>
        <v>0.24500000000000002</v>
      </c>
      <c r="L9" s="5">
        <f t="shared" si="3"/>
        <v>0.26</v>
      </c>
      <c r="M9" s="5">
        <f t="shared" si="3"/>
        <v>0.26</v>
      </c>
      <c r="N9" s="5">
        <f t="shared" si="3"/>
        <v>0.26</v>
      </c>
      <c r="O9" s="5">
        <f t="shared" si="3"/>
        <v>0.2715</v>
      </c>
      <c r="P9" s="5">
        <f t="shared" si="3"/>
        <v>0.28300000000000003</v>
      </c>
    </row>
    <row r="10" spans="1:16" ht="12.75">
      <c r="A10" s="1"/>
      <c r="B10" s="1" t="s">
        <v>113</v>
      </c>
      <c r="C10" s="1">
        <f>E10</f>
        <v>246.42</v>
      </c>
      <c r="D10" s="1">
        <f>E10</f>
        <v>246.42</v>
      </c>
      <c r="E10" s="1">
        <v>246.42</v>
      </c>
      <c r="F10" s="1">
        <f>E10</f>
        <v>246.42</v>
      </c>
      <c r="G10" s="1">
        <f>E10*1.04</f>
        <v>256.2768</v>
      </c>
      <c r="H10" s="1">
        <f>E10*1.1</f>
        <v>271.062</v>
      </c>
      <c r="I10" s="1"/>
      <c r="J10" s="1" t="s">
        <v>95</v>
      </c>
      <c r="K10" s="5">
        <f aca="true" t="shared" si="4" ref="K10:P10">C71/C37</f>
        <v>0.32000000000000006</v>
      </c>
      <c r="L10" s="5">
        <f t="shared" si="4"/>
        <v>0.32000000000000006</v>
      </c>
      <c r="M10" s="5">
        <f t="shared" si="4"/>
        <v>0.32000000000000006</v>
      </c>
      <c r="N10" s="5">
        <f t="shared" si="4"/>
        <v>0.32000000000000006</v>
      </c>
      <c r="O10" s="5">
        <f t="shared" si="4"/>
        <v>0.32000000000000006</v>
      </c>
      <c r="P10" s="5">
        <f t="shared" si="4"/>
        <v>0.32000000000000006</v>
      </c>
    </row>
    <row r="11" spans="1:16" ht="12.75">
      <c r="A11" s="1">
        <v>8.7</v>
      </c>
      <c r="B11" s="1" t="s">
        <v>116</v>
      </c>
      <c r="C11" s="4">
        <f>C10*A11</f>
        <v>2143.854</v>
      </c>
      <c r="D11" s="4">
        <f>D10*A11</f>
        <v>2143.854</v>
      </c>
      <c r="E11" s="4">
        <f>E10*A11</f>
        <v>2143.854</v>
      </c>
      <c r="F11" s="4">
        <f>F10*A11</f>
        <v>2143.854</v>
      </c>
      <c r="G11" s="4">
        <f>G10*A11</f>
        <v>2229.6081599999998</v>
      </c>
      <c r="H11" s="4">
        <f>H10*A11</f>
        <v>2358.2394</v>
      </c>
      <c r="I11" s="4"/>
      <c r="J11" s="1" t="s">
        <v>101</v>
      </c>
      <c r="K11" s="5">
        <f aca="true" t="shared" si="5" ref="K11:P11">(C115-C110-C94)/C37</f>
        <v>0.21878024691358036</v>
      </c>
      <c r="L11" s="5">
        <f t="shared" si="5"/>
        <v>0.22699012345679023</v>
      </c>
      <c r="M11" s="5">
        <f t="shared" si="5"/>
        <v>0.22551400966183585</v>
      </c>
      <c r="N11" s="5">
        <f t="shared" si="5"/>
        <v>0.22511875274483956</v>
      </c>
      <c r="O11" s="5">
        <f t="shared" si="5"/>
        <v>0.2321349363197189</v>
      </c>
      <c r="P11" s="5">
        <f t="shared" si="5"/>
        <v>0.24545225442834134</v>
      </c>
    </row>
    <row r="12" spans="1:16" ht="12.75">
      <c r="A12" s="1"/>
      <c r="B12" s="1"/>
      <c r="C12" s="4"/>
      <c r="D12" s="4"/>
      <c r="E12" s="4"/>
      <c r="F12" s="4"/>
      <c r="G12" s="4"/>
      <c r="H12" s="4"/>
      <c r="I12" s="4"/>
      <c r="J12" s="1" t="s">
        <v>23</v>
      </c>
      <c r="K12" s="5">
        <f aca="true" t="shared" si="6" ref="K12:P12">C94/C37</f>
        <v>0.13580246913580246</v>
      </c>
      <c r="L12" s="5">
        <f t="shared" si="6"/>
        <v>0.06790123456790123</v>
      </c>
      <c r="M12" s="5">
        <f t="shared" si="6"/>
        <v>0.05314009661835749</v>
      </c>
      <c r="N12" s="5">
        <f t="shared" si="6"/>
        <v>0.049187527448397016</v>
      </c>
      <c r="O12" s="5">
        <f t="shared" si="6"/>
        <v>0.05884936319718929</v>
      </c>
      <c r="P12" s="5">
        <f t="shared" si="6"/>
        <v>0.06602254428341385</v>
      </c>
    </row>
    <row r="13" spans="2:16" ht="13.5" thickBot="1">
      <c r="B13" s="25" t="s">
        <v>90</v>
      </c>
      <c r="C13" s="4">
        <f>E13</f>
        <v>230</v>
      </c>
      <c r="D13" s="4">
        <f>E13</f>
        <v>230</v>
      </c>
      <c r="E13" s="4">
        <v>230</v>
      </c>
      <c r="F13" s="4">
        <f>E13</f>
        <v>230</v>
      </c>
      <c r="G13" s="4">
        <f>E13*1.05</f>
        <v>241.5</v>
      </c>
      <c r="H13" s="4">
        <f>E13*1.1</f>
        <v>253.00000000000003</v>
      </c>
      <c r="I13" s="4"/>
      <c r="J13" s="1" t="s">
        <v>12</v>
      </c>
      <c r="K13" s="5">
        <f aca="true" t="shared" si="7" ref="K13:P13">C110/C37</f>
        <v>0.08999999999999998</v>
      </c>
      <c r="L13" s="5">
        <f t="shared" si="7"/>
        <v>0.08999999999999998</v>
      </c>
      <c r="M13" s="5">
        <f t="shared" si="7"/>
        <v>0.09</v>
      </c>
      <c r="N13" s="5">
        <f t="shared" si="7"/>
        <v>0.09</v>
      </c>
      <c r="O13" s="5">
        <f t="shared" si="7"/>
        <v>0.108</v>
      </c>
      <c r="P13" s="5">
        <f t="shared" si="7"/>
        <v>0.12599999999999997</v>
      </c>
    </row>
    <row r="14" spans="1:16" ht="13.5" thickBot="1">
      <c r="A14" s="1"/>
      <c r="B14" s="9" t="s">
        <v>106</v>
      </c>
      <c r="C14" s="8">
        <f aca="true" t="shared" si="8" ref="C14:H14">C13*C37/1000</f>
        <v>186.3</v>
      </c>
      <c r="D14" s="8">
        <f t="shared" si="8"/>
        <v>372.6</v>
      </c>
      <c r="E14" s="8">
        <f t="shared" si="8"/>
        <v>476.1</v>
      </c>
      <c r="F14" s="8">
        <f t="shared" si="8"/>
        <v>523.71</v>
      </c>
      <c r="G14" s="8">
        <f t="shared" si="8"/>
        <v>549.8955</v>
      </c>
      <c r="H14" s="8">
        <f t="shared" si="8"/>
        <v>628.4520000000001</v>
      </c>
      <c r="I14" s="34"/>
      <c r="J14" s="1" t="s">
        <v>96</v>
      </c>
      <c r="K14" s="5">
        <f aca="true" t="shared" si="9" ref="K14:P14">C125/C37</f>
        <v>0.4691358024691358</v>
      </c>
      <c r="L14" s="5">
        <f t="shared" si="9"/>
        <v>0.2916666666666667</v>
      </c>
      <c r="M14" s="5">
        <f t="shared" si="9"/>
        <v>0.23550724637681159</v>
      </c>
      <c r="N14" s="5">
        <f t="shared" si="9"/>
        <v>0.21409749670619235</v>
      </c>
      <c r="O14" s="5">
        <f t="shared" si="9"/>
        <v>0.21409749670619235</v>
      </c>
      <c r="P14" s="5">
        <f t="shared" si="9"/>
        <v>0.196256038647343</v>
      </c>
    </row>
    <row r="15" spans="1:16" ht="13.5" thickBot="1">
      <c r="A15" s="6" t="s">
        <v>84</v>
      </c>
      <c r="B15" s="1"/>
      <c r="C15" s="4"/>
      <c r="D15" s="4"/>
      <c r="E15" s="4"/>
      <c r="F15" s="4"/>
      <c r="G15" s="4"/>
      <c r="H15" s="4"/>
      <c r="I15" s="4"/>
      <c r="J15" s="1" t="s">
        <v>97</v>
      </c>
      <c r="K15" s="5">
        <f aca="true" t="shared" si="10" ref="K15:P15">C130/C37</f>
        <v>0.1419753086419753</v>
      </c>
      <c r="L15" s="5">
        <f t="shared" si="10"/>
        <v>0.11358024691358025</v>
      </c>
      <c r="M15" s="5">
        <f t="shared" si="10"/>
        <v>0.1111111111111111</v>
      </c>
      <c r="N15" s="5">
        <f t="shared" si="10"/>
        <v>0.10101010101010101</v>
      </c>
      <c r="O15" s="5">
        <f t="shared" si="10"/>
        <v>0.10101010101010101</v>
      </c>
      <c r="P15" s="5">
        <f t="shared" si="10"/>
        <v>0.09259259259259259</v>
      </c>
    </row>
    <row r="16" spans="1:16" ht="13.5" thickBot="1">
      <c r="A16" s="1"/>
      <c r="B16" s="9" t="s">
        <v>73</v>
      </c>
      <c r="C16" s="4">
        <f aca="true" t="shared" si="11" ref="C16:H16">C6+C11+C13</f>
        <v>5448.253999999999</v>
      </c>
      <c r="D16" s="4">
        <f t="shared" si="11"/>
        <v>5405.554</v>
      </c>
      <c r="E16" s="4">
        <f t="shared" si="11"/>
        <v>5362.853999999999</v>
      </c>
      <c r="F16" s="4">
        <f t="shared" si="11"/>
        <v>5243.294</v>
      </c>
      <c r="G16" s="4">
        <f t="shared" si="11"/>
        <v>5460.10816</v>
      </c>
      <c r="H16" s="4">
        <f t="shared" si="11"/>
        <v>5600.2393999999995</v>
      </c>
      <c r="I16" s="4"/>
      <c r="J16" s="10" t="s">
        <v>10</v>
      </c>
      <c r="K16" s="15">
        <f aca="true" t="shared" si="12" ref="K16:P16">SUM(K6:K15)</f>
        <v>7.875783382716049</v>
      </c>
      <c r="L16" s="16">
        <f t="shared" si="12"/>
        <v>7.264407827160494</v>
      </c>
      <c r="M16" s="16">
        <f t="shared" si="12"/>
        <v>7.686775159420289</v>
      </c>
      <c r="N16" s="16">
        <f t="shared" si="12"/>
        <v>7.492377443126921</v>
      </c>
      <c r="O16" s="16">
        <f t="shared" si="12"/>
        <v>7.915713100711462</v>
      </c>
      <c r="P16" s="17">
        <f t="shared" si="12"/>
        <v>8.113481670531403</v>
      </c>
    </row>
    <row r="17" spans="1:16" ht="13.5" thickBot="1">
      <c r="A17" s="1"/>
      <c r="B17" s="10" t="s">
        <v>74</v>
      </c>
      <c r="C17" s="15">
        <f aca="true" t="shared" si="13" ref="C17:H17">C16/1000</f>
        <v>5.448253999999999</v>
      </c>
      <c r="D17" s="16">
        <f t="shared" si="13"/>
        <v>5.405554</v>
      </c>
      <c r="E17" s="16">
        <f t="shared" si="13"/>
        <v>5.362854</v>
      </c>
      <c r="F17" s="16">
        <f t="shared" si="13"/>
        <v>5.243294</v>
      </c>
      <c r="G17" s="16">
        <f t="shared" si="13"/>
        <v>5.46010816</v>
      </c>
      <c r="H17" s="17">
        <f t="shared" si="13"/>
        <v>5.6002393999999995</v>
      </c>
      <c r="I17" s="35"/>
      <c r="J17" s="10"/>
      <c r="K17" s="5"/>
      <c r="L17" s="5"/>
      <c r="M17" s="5"/>
      <c r="N17" s="5"/>
      <c r="O17" s="5"/>
      <c r="P17" s="5"/>
    </row>
    <row r="18" spans="1:9" ht="12.75">
      <c r="A18" s="6" t="s">
        <v>83</v>
      </c>
      <c r="C18" s="1"/>
      <c r="D18" s="1"/>
      <c r="E18" s="1"/>
      <c r="F18" s="1"/>
      <c r="G18" s="1"/>
      <c r="H18" s="1"/>
      <c r="I18" s="1"/>
    </row>
    <row r="19" spans="1:16" ht="13.5" thickBot="1">
      <c r="A19" s="1"/>
      <c r="B19" s="1" t="s">
        <v>66</v>
      </c>
      <c r="C19" s="5">
        <v>9</v>
      </c>
      <c r="D19" s="5">
        <f>E19*0.98</f>
        <v>9.31</v>
      </c>
      <c r="E19" s="5">
        <v>9.5</v>
      </c>
      <c r="F19" s="5">
        <f>E19*1.1</f>
        <v>10.450000000000001</v>
      </c>
      <c r="G19" s="5">
        <f>E19*1.05</f>
        <v>9.975</v>
      </c>
      <c r="H19" s="5">
        <f>E19*1.1</f>
        <v>10.450000000000001</v>
      </c>
      <c r="I19" s="5"/>
      <c r="J19" s="1" t="s">
        <v>76</v>
      </c>
      <c r="K19" s="4">
        <f aca="true" t="shared" si="14" ref="K19:P20">C75</f>
        <v>1699.1742600000016</v>
      </c>
      <c r="L19" s="4">
        <f t="shared" si="14"/>
        <v>3906.4453200000007</v>
      </c>
      <c r="M19" s="4">
        <f t="shared" si="14"/>
        <v>5423.702219999999</v>
      </c>
      <c r="N19" s="4">
        <f t="shared" si="14"/>
        <v>7986.135762000009</v>
      </c>
      <c r="O19" s="4">
        <f t="shared" si="14"/>
        <v>6553.642819679995</v>
      </c>
      <c r="P19" s="4">
        <f t="shared" si="14"/>
        <v>7825.4957304</v>
      </c>
    </row>
    <row r="20" spans="1:16" ht="13.5" thickBot="1">
      <c r="A20" s="1"/>
      <c r="B20" s="1" t="s">
        <v>67</v>
      </c>
      <c r="C20" s="5">
        <f aca="true" t="shared" si="15" ref="C20:H20">C19*0.98</f>
        <v>8.82</v>
      </c>
      <c r="D20" s="5">
        <f t="shared" si="15"/>
        <v>9.123800000000001</v>
      </c>
      <c r="E20" s="5">
        <f t="shared" si="15"/>
        <v>9.31</v>
      </c>
      <c r="F20" s="5">
        <f t="shared" si="15"/>
        <v>10.241000000000001</v>
      </c>
      <c r="G20" s="5">
        <f t="shared" si="15"/>
        <v>9.7755</v>
      </c>
      <c r="H20" s="5">
        <f t="shared" si="15"/>
        <v>10.241000000000001</v>
      </c>
      <c r="I20" s="5"/>
      <c r="J20" s="9" t="s">
        <v>42</v>
      </c>
      <c r="K20" s="38">
        <f t="shared" si="14"/>
        <v>0.26668522756165797</v>
      </c>
      <c r="L20" s="39">
        <f t="shared" si="14"/>
        <v>0.2963504708158104</v>
      </c>
      <c r="M20" s="39">
        <f t="shared" si="14"/>
        <v>0.3155661808984704</v>
      </c>
      <c r="N20" s="39">
        <f t="shared" si="14"/>
        <v>0.38666747513946187</v>
      </c>
      <c r="O20" s="39">
        <f t="shared" si="14"/>
        <v>0.33241997158795594</v>
      </c>
      <c r="P20" s="40">
        <f t="shared" si="14"/>
        <v>0.3473155689811038</v>
      </c>
    </row>
    <row r="21" spans="1:16" ht="12.75">
      <c r="A21" s="1"/>
      <c r="B21" s="1" t="s">
        <v>120</v>
      </c>
      <c r="C21" s="5">
        <f aca="true" t="shared" si="16" ref="C21:H21">C19*0.96</f>
        <v>8.64</v>
      </c>
      <c r="D21" s="5">
        <f t="shared" si="16"/>
        <v>8.9376</v>
      </c>
      <c r="E21" s="5">
        <f t="shared" si="16"/>
        <v>9.12</v>
      </c>
      <c r="F21" s="5">
        <f t="shared" si="16"/>
        <v>10.032</v>
      </c>
      <c r="G21" s="5">
        <f t="shared" si="16"/>
        <v>9.575999999999999</v>
      </c>
      <c r="H21" s="5">
        <f t="shared" si="16"/>
        <v>10.032</v>
      </c>
      <c r="I21" s="5"/>
      <c r="J21" s="1" t="s">
        <v>37</v>
      </c>
      <c r="K21" s="4">
        <f aca="true" t="shared" si="17" ref="K21:P21">C117</f>
        <v>499.2254600000016</v>
      </c>
      <c r="L21" s="4">
        <f t="shared" si="17"/>
        <v>2118.6021200000005</v>
      </c>
      <c r="M21" s="4">
        <f t="shared" si="17"/>
        <v>2055.1854199999984</v>
      </c>
      <c r="N21" s="4">
        <f t="shared" si="17"/>
        <v>4379.422762000009</v>
      </c>
      <c r="O21" s="4">
        <f t="shared" si="17"/>
        <v>2476.6803696799952</v>
      </c>
      <c r="P21" s="4">
        <f t="shared" si="17"/>
        <v>3169.5019304000007</v>
      </c>
    </row>
    <row r="22" spans="1:16" ht="12.75">
      <c r="A22" s="1"/>
      <c r="B22" s="1" t="s">
        <v>119</v>
      </c>
      <c r="C22" s="5">
        <f aca="true" t="shared" si="18" ref="C22:H22">C19*0.7</f>
        <v>6.3</v>
      </c>
      <c r="D22" s="5">
        <f t="shared" si="18"/>
        <v>6.517</v>
      </c>
      <c r="E22" s="5">
        <f t="shared" si="18"/>
        <v>6.6499999999999995</v>
      </c>
      <c r="F22" s="5">
        <f t="shared" si="18"/>
        <v>7.315</v>
      </c>
      <c r="G22" s="5">
        <f t="shared" si="18"/>
        <v>6.982499999999999</v>
      </c>
      <c r="H22" s="5">
        <f t="shared" si="18"/>
        <v>7.315</v>
      </c>
      <c r="I22" s="5"/>
      <c r="J22" s="1" t="s">
        <v>13</v>
      </c>
      <c r="K22" s="4">
        <f aca="true" t="shared" si="19" ref="K22:P22">C127</f>
        <v>119.22546000000159</v>
      </c>
      <c r="L22" s="4">
        <f t="shared" si="19"/>
        <v>1646.1021200000005</v>
      </c>
      <c r="M22" s="4">
        <f t="shared" si="19"/>
        <v>1567.6854199999984</v>
      </c>
      <c r="N22" s="4">
        <f t="shared" si="19"/>
        <v>3891.9227620000092</v>
      </c>
      <c r="O22" s="4">
        <f t="shared" si="19"/>
        <v>1989.1803696799952</v>
      </c>
      <c r="P22" s="4">
        <f t="shared" si="19"/>
        <v>2682.0019304000007</v>
      </c>
    </row>
    <row r="23" spans="1:16" ht="13.5" thickBot="1">
      <c r="A23" s="1"/>
      <c r="B23" s="1" t="s">
        <v>79</v>
      </c>
      <c r="C23" s="5">
        <f aca="true" t="shared" si="20" ref="C23:H23">C19*0.12</f>
        <v>1.08</v>
      </c>
      <c r="D23" s="5">
        <f t="shared" si="20"/>
        <v>1.1172</v>
      </c>
      <c r="E23" s="5">
        <f t="shared" si="20"/>
        <v>1.14</v>
      </c>
      <c r="F23" s="5">
        <f t="shared" si="20"/>
        <v>1.254</v>
      </c>
      <c r="G23" s="5">
        <f t="shared" si="20"/>
        <v>1.1969999999999998</v>
      </c>
      <c r="H23" s="5">
        <f t="shared" si="20"/>
        <v>1.254</v>
      </c>
      <c r="I23" s="5"/>
      <c r="J23" s="1" t="s">
        <v>14</v>
      </c>
      <c r="K23" s="4">
        <f aca="true" t="shared" si="21" ref="K23:P23">C133</f>
        <v>4.22546000000159</v>
      </c>
      <c r="L23" s="4">
        <f t="shared" si="21"/>
        <v>1462.1021200000005</v>
      </c>
      <c r="M23" s="4">
        <f t="shared" si="21"/>
        <v>1337.6854199999984</v>
      </c>
      <c r="N23" s="4">
        <f t="shared" si="21"/>
        <v>3661.9227620000092</v>
      </c>
      <c r="O23" s="4">
        <f t="shared" si="21"/>
        <v>1759.1803696799952</v>
      </c>
      <c r="P23" s="4">
        <f t="shared" si="21"/>
        <v>2452.0019304000007</v>
      </c>
    </row>
    <row r="24" spans="2:16" ht="13.5" thickBot="1">
      <c r="B24" s="9" t="s">
        <v>82</v>
      </c>
      <c r="C24" s="15">
        <f aca="true" t="shared" si="22" ref="C24:H24">(C19*0.35+C20*0.2+C21*0.25+C22*0.1+C23*0.1)</f>
        <v>7.811999999999999</v>
      </c>
      <c r="D24" s="15">
        <f t="shared" si="22"/>
        <v>8.08108</v>
      </c>
      <c r="E24" s="15">
        <f t="shared" si="22"/>
        <v>8.245999999999999</v>
      </c>
      <c r="F24" s="15">
        <f t="shared" si="22"/>
        <v>9.0706</v>
      </c>
      <c r="G24" s="15">
        <f t="shared" si="22"/>
        <v>8.658299999999999</v>
      </c>
      <c r="H24" s="15">
        <f t="shared" si="22"/>
        <v>9.0706</v>
      </c>
      <c r="I24" s="35"/>
      <c r="J24" s="9" t="s">
        <v>38</v>
      </c>
      <c r="K24" s="38">
        <f aca="true" t="shared" si="23" ref="K24:P24">C135</f>
        <v>0.0006631855179192193</v>
      </c>
      <c r="L24" s="39">
        <f t="shared" si="23"/>
        <v>0.11091788471335741</v>
      </c>
      <c r="M24" s="39">
        <f t="shared" si="23"/>
        <v>0.07783028310004932</v>
      </c>
      <c r="N24" s="39">
        <f t="shared" si="23"/>
        <v>0.1773005707310522</v>
      </c>
      <c r="O24" s="39">
        <f t="shared" si="23"/>
        <v>0.0892307842519358</v>
      </c>
      <c r="P24" s="40">
        <f t="shared" si="23"/>
        <v>0.10882613382450988</v>
      </c>
    </row>
    <row r="25" spans="10:16" ht="12.75">
      <c r="J25" s="1"/>
      <c r="K25" s="1"/>
      <c r="L25" s="1"/>
      <c r="M25" s="1"/>
      <c r="N25" s="1"/>
      <c r="O25" s="1"/>
      <c r="P25" s="1"/>
    </row>
    <row r="27" spans="1:16" ht="12.75">
      <c r="A27" s="1"/>
      <c r="B27" s="1"/>
      <c r="C27" s="1"/>
      <c r="D27" s="1"/>
      <c r="E27" s="1"/>
      <c r="F27" s="1"/>
      <c r="G27" s="1"/>
      <c r="H27" s="1"/>
      <c r="I27" s="1"/>
      <c r="J27" s="1" t="s">
        <v>98</v>
      </c>
      <c r="K27" s="37">
        <f aca="true" t="shared" si="24" ref="K27:P27">K6/K16</f>
        <v>0.13164856182192144</v>
      </c>
      <c r="L27" s="37">
        <f t="shared" si="24"/>
        <v>0.09893656477660707</v>
      </c>
      <c r="M27" s="37">
        <f t="shared" si="24"/>
        <v>0.163742098545666</v>
      </c>
      <c r="N27" s="37">
        <f t="shared" si="24"/>
        <v>0.16278805685854048</v>
      </c>
      <c r="O27" s="37">
        <f t="shared" si="24"/>
        <v>0.17579124278180222</v>
      </c>
      <c r="P27" s="37">
        <f t="shared" si="24"/>
        <v>0.17710261746183217</v>
      </c>
    </row>
    <row r="28" spans="1:16" ht="12.75">
      <c r="A28" s="1"/>
      <c r="B28" s="1"/>
      <c r="C28" s="1"/>
      <c r="D28" s="1"/>
      <c r="E28" s="1"/>
      <c r="F28" s="1"/>
      <c r="G28" s="1"/>
      <c r="H28" s="1"/>
      <c r="I28" s="1"/>
      <c r="J28" s="1" t="s">
        <v>100</v>
      </c>
      <c r="K28" s="37">
        <f aca="true" t="shared" si="25" ref="K28:P28">K7/K16</f>
        <v>0.3903611679756179</v>
      </c>
      <c r="L28" s="37">
        <f t="shared" si="25"/>
        <v>0.4173361507410066</v>
      </c>
      <c r="M28" s="37">
        <f t="shared" si="25"/>
        <v>0.3888496720678662</v>
      </c>
      <c r="N28" s="37">
        <f t="shared" si="25"/>
        <v>0.3829812395039254</v>
      </c>
      <c r="O28" s="37">
        <f t="shared" si="25"/>
        <v>0.3776033772284331</v>
      </c>
      <c r="P28" s="37">
        <f t="shared" si="25"/>
        <v>0.3683991806940548</v>
      </c>
    </row>
    <row r="29" spans="1:16" ht="12.75">
      <c r="A29" s="1"/>
      <c r="B29" s="1"/>
      <c r="C29" s="1"/>
      <c r="D29" s="1"/>
      <c r="E29" s="1"/>
      <c r="F29" s="1"/>
      <c r="G29" s="1"/>
      <c r="H29" s="1"/>
      <c r="I29" s="1"/>
      <c r="J29" s="1" t="s">
        <v>19</v>
      </c>
      <c r="K29" s="37">
        <f aca="true" t="shared" si="26" ref="K29:P29">K8/K16</f>
        <v>0.2722083500550352</v>
      </c>
      <c r="L29" s="37">
        <f t="shared" si="26"/>
        <v>0.29511751694122434</v>
      </c>
      <c r="M29" s="37">
        <f t="shared" si="26"/>
        <v>0.27890161420588266</v>
      </c>
      <c r="N29" s="37">
        <f t="shared" si="26"/>
        <v>0.286138013771136</v>
      </c>
      <c r="O29" s="37">
        <f t="shared" si="26"/>
        <v>0.2816686420582377</v>
      </c>
      <c r="P29" s="37">
        <f t="shared" si="26"/>
        <v>0.2906568962330008</v>
      </c>
    </row>
    <row r="30" spans="1:16" ht="12.75">
      <c r="A30" s="6" t="s">
        <v>6</v>
      </c>
      <c r="C30" s="1"/>
      <c r="D30" s="1"/>
      <c r="E30" s="1"/>
      <c r="F30" s="1"/>
      <c r="G30" s="1"/>
      <c r="H30" s="1"/>
      <c r="I30" s="1"/>
      <c r="J30" s="1" t="s">
        <v>94</v>
      </c>
      <c r="K30" s="37">
        <f aca="true" t="shared" si="27" ref="K30:P30">K9/K16</f>
        <v>0.03110801657364897</v>
      </c>
      <c r="L30" s="37">
        <f t="shared" si="27"/>
        <v>0.03579094210926599</v>
      </c>
      <c r="M30" s="37">
        <f t="shared" si="27"/>
        <v>0.03382432744651898</v>
      </c>
      <c r="N30" s="37">
        <f t="shared" si="27"/>
        <v>0.03470193566376039</v>
      </c>
      <c r="O30" s="37">
        <f t="shared" si="27"/>
        <v>0.03429886815574426</v>
      </c>
      <c r="P30" s="37">
        <f t="shared" si="27"/>
        <v>0.03488021684055454</v>
      </c>
    </row>
    <row r="31" spans="1:16" ht="12.75">
      <c r="A31" s="1"/>
      <c r="B31" s="36" t="s">
        <v>72</v>
      </c>
      <c r="C31" s="1">
        <f>E31</f>
        <v>1.5</v>
      </c>
      <c r="D31" s="1">
        <f>E31</f>
        <v>1.5</v>
      </c>
      <c r="E31" s="1">
        <v>1.5</v>
      </c>
      <c r="F31" s="1">
        <f>E31*1.1</f>
        <v>1.6500000000000001</v>
      </c>
      <c r="G31" s="1">
        <f>E31*1.1</f>
        <v>1.6500000000000001</v>
      </c>
      <c r="H31" s="1">
        <f>E31*1.2</f>
        <v>1.7999999999999998</v>
      </c>
      <c r="I31" s="1"/>
      <c r="J31" s="1" t="s">
        <v>95</v>
      </c>
      <c r="K31" s="37">
        <f aca="true" t="shared" si="28" ref="K31:P31">K10/K16</f>
        <v>0.04063087879007213</v>
      </c>
      <c r="L31" s="37">
        <f t="shared" si="28"/>
        <v>0.044050390288327385</v>
      </c>
      <c r="M31" s="37">
        <f t="shared" si="28"/>
        <v>0.04162994147263875</v>
      </c>
      <c r="N31" s="37">
        <f t="shared" si="28"/>
        <v>0.04271007466308972</v>
      </c>
      <c r="O31" s="37">
        <f t="shared" si="28"/>
        <v>0.04042592195152179</v>
      </c>
      <c r="P31" s="37">
        <f t="shared" si="28"/>
        <v>0.03944052787624542</v>
      </c>
    </row>
    <row r="32" spans="1:16" ht="12.75">
      <c r="A32" s="1">
        <v>4.5</v>
      </c>
      <c r="B32" s="1" t="s">
        <v>105</v>
      </c>
      <c r="C32" s="5">
        <f>C31*A32</f>
        <v>6.75</v>
      </c>
      <c r="D32" s="5">
        <f>D31*A32</f>
        <v>6.75</v>
      </c>
      <c r="E32" s="5">
        <f>E31*A32</f>
        <v>6.75</v>
      </c>
      <c r="F32" s="5">
        <f>F31*A32</f>
        <v>7.425000000000001</v>
      </c>
      <c r="G32" s="5">
        <f>G31*A32</f>
        <v>7.425000000000001</v>
      </c>
      <c r="H32" s="5">
        <f>H31*A32</f>
        <v>8.1</v>
      </c>
      <c r="I32" s="1"/>
      <c r="J32" s="1" t="s">
        <v>101</v>
      </c>
      <c r="K32" s="37">
        <f aca="true" t="shared" si="29" ref="K32:P32">K11/K16</f>
        <v>0.02777885529377417</v>
      </c>
      <c r="L32" s="37">
        <f t="shared" si="29"/>
        <v>0.031246886030835076</v>
      </c>
      <c r="M32" s="37">
        <f t="shared" si="29"/>
        <v>0.029337921948382233</v>
      </c>
      <c r="N32" s="37">
        <f t="shared" si="29"/>
        <v>0.030046371055605404</v>
      </c>
      <c r="O32" s="37">
        <f t="shared" si="29"/>
        <v>0.02932584005588261</v>
      </c>
      <c r="P32" s="37">
        <f t="shared" si="29"/>
        <v>0.03025239525958837</v>
      </c>
    </row>
    <row r="33" spans="1:16" ht="13.5" thickBot="1">
      <c r="A33" s="1"/>
      <c r="B33" s="1" t="s">
        <v>7</v>
      </c>
      <c r="C33" s="1">
        <f aca="true" t="shared" si="30" ref="C33:H33">C32*5</f>
        <v>33.75</v>
      </c>
      <c r="D33" s="1">
        <f t="shared" si="30"/>
        <v>33.75</v>
      </c>
      <c r="E33" s="1">
        <f t="shared" si="30"/>
        <v>33.75</v>
      </c>
      <c r="F33" s="1">
        <f t="shared" si="30"/>
        <v>37.125</v>
      </c>
      <c r="G33" s="1">
        <f t="shared" si="30"/>
        <v>37.125</v>
      </c>
      <c r="H33" s="1">
        <f t="shared" si="30"/>
        <v>40.5</v>
      </c>
      <c r="I33" s="1"/>
      <c r="J33" s="1" t="s">
        <v>23</v>
      </c>
      <c r="K33" s="37">
        <f aca="true" t="shared" si="31" ref="K33:P33">K12/K16</f>
        <v>0.017243042696404063</v>
      </c>
      <c r="L33" s="37">
        <f t="shared" si="31"/>
        <v>0.00934711213679786</v>
      </c>
      <c r="M33" s="37">
        <f t="shared" si="31"/>
        <v>0.006913184725226845</v>
      </c>
      <c r="N33" s="37">
        <f t="shared" si="31"/>
        <v>0.00656500928066816</v>
      </c>
      <c r="O33" s="37">
        <f t="shared" si="31"/>
        <v>0.0074344992609572886</v>
      </c>
      <c r="P33" s="37">
        <f t="shared" si="31"/>
        <v>0.008137387494595723</v>
      </c>
    </row>
    <row r="34" spans="1:16" ht="13.5" thickBot="1">
      <c r="A34" s="1"/>
      <c r="B34" s="1" t="s">
        <v>110</v>
      </c>
      <c r="C34" s="22">
        <f>C33*18</f>
        <v>607.5</v>
      </c>
      <c r="D34" s="23">
        <f>D33*36</f>
        <v>1215</v>
      </c>
      <c r="E34" s="23">
        <f>E33*46</f>
        <v>1552.5</v>
      </c>
      <c r="F34" s="23">
        <f>F33*46</f>
        <v>1707.75</v>
      </c>
      <c r="G34" s="23">
        <f>G33*46</f>
        <v>1707.75</v>
      </c>
      <c r="H34" s="24">
        <f>H33*46</f>
        <v>1863</v>
      </c>
      <c r="I34" s="42"/>
      <c r="J34" s="1" t="s">
        <v>112</v>
      </c>
      <c r="K34" s="37">
        <f aca="true" t="shared" si="32" ref="K34:P34">K13/K16</f>
        <v>0.011427434659707782</v>
      </c>
      <c r="L34" s="37">
        <f t="shared" si="32"/>
        <v>0.012389172268592073</v>
      </c>
      <c r="M34" s="37">
        <f t="shared" si="32"/>
        <v>0.011708421039179646</v>
      </c>
      <c r="N34" s="37">
        <f t="shared" si="32"/>
        <v>0.012012208498993981</v>
      </c>
      <c r="O34" s="37">
        <f t="shared" si="32"/>
        <v>0.013643748658638601</v>
      </c>
      <c r="P34" s="37">
        <f t="shared" si="32"/>
        <v>0.015529707851271628</v>
      </c>
    </row>
    <row r="35" spans="1:16" ht="12.75">
      <c r="A35" s="1"/>
      <c r="B35" s="1" t="s">
        <v>122</v>
      </c>
      <c r="C35" s="4">
        <f aca="true" t="shared" si="33" ref="C35:H35">C37*0.1</f>
        <v>81</v>
      </c>
      <c r="D35" s="4">
        <f t="shared" si="33"/>
        <v>162</v>
      </c>
      <c r="E35" s="4">
        <f t="shared" si="33"/>
        <v>207</v>
      </c>
      <c r="F35" s="4">
        <f t="shared" si="33"/>
        <v>227.70000000000002</v>
      </c>
      <c r="G35" s="4">
        <f t="shared" si="33"/>
        <v>227.70000000000002</v>
      </c>
      <c r="H35" s="4">
        <f t="shared" si="33"/>
        <v>248.4</v>
      </c>
      <c r="I35" s="4"/>
      <c r="J35" s="1" t="s">
        <v>96</v>
      </c>
      <c r="K35" s="37">
        <f aca="true" t="shared" si="34" ref="K35:P35">K14/K16</f>
        <v>0.05956687476939586</v>
      </c>
      <c r="L35" s="37">
        <f t="shared" si="34"/>
        <v>0.04015009531488172</v>
      </c>
      <c r="M35" s="37">
        <f t="shared" si="34"/>
        <v>0.03063797775952806</v>
      </c>
      <c r="N35" s="37">
        <f t="shared" si="34"/>
        <v>0.028575375217194</v>
      </c>
      <c r="O35" s="37">
        <f t="shared" si="34"/>
        <v>0.02704715216206476</v>
      </c>
      <c r="P35" s="37">
        <f t="shared" si="34"/>
        <v>0.02418888050985009</v>
      </c>
    </row>
    <row r="36" spans="1:16" ht="13.5" thickBot="1">
      <c r="A36" s="1"/>
      <c r="B36" s="1" t="s">
        <v>122</v>
      </c>
      <c r="C36" s="4">
        <f aca="true" t="shared" si="35" ref="C36:H36">C37*0.1</f>
        <v>81</v>
      </c>
      <c r="D36" s="4">
        <f t="shared" si="35"/>
        <v>162</v>
      </c>
      <c r="E36" s="4">
        <f t="shared" si="35"/>
        <v>207</v>
      </c>
      <c r="F36" s="4">
        <f t="shared" si="35"/>
        <v>227.70000000000002</v>
      </c>
      <c r="G36" s="4">
        <f t="shared" si="35"/>
        <v>227.70000000000002</v>
      </c>
      <c r="H36" s="4">
        <f t="shared" si="35"/>
        <v>248.4</v>
      </c>
      <c r="I36" s="4"/>
      <c r="J36" s="1" t="s">
        <v>97</v>
      </c>
      <c r="K36" s="37">
        <f aca="true" t="shared" si="36" ref="K36:P36">K15/K16</f>
        <v>0.01802681736442243</v>
      </c>
      <c r="L36" s="37">
        <f t="shared" si="36"/>
        <v>0.015635169392461876</v>
      </c>
      <c r="M36" s="37">
        <f t="shared" si="36"/>
        <v>0.014454840789110674</v>
      </c>
      <c r="N36" s="37">
        <f t="shared" si="36"/>
        <v>0.013481715487086399</v>
      </c>
      <c r="O36" s="37">
        <f t="shared" si="36"/>
        <v>0.012760707686717733</v>
      </c>
      <c r="P36" s="37">
        <f t="shared" si="36"/>
        <v>0.011412189779006196</v>
      </c>
    </row>
    <row r="37" spans="1:16" ht="13.5" thickBot="1">
      <c r="A37" s="1"/>
      <c r="B37" s="10" t="s">
        <v>111</v>
      </c>
      <c r="C37" s="22">
        <f aca="true" t="shared" si="37" ref="C37:H37">C34/0.75</f>
        <v>810</v>
      </c>
      <c r="D37" s="23">
        <f t="shared" si="37"/>
        <v>1620</v>
      </c>
      <c r="E37" s="23">
        <f t="shared" si="37"/>
        <v>2070</v>
      </c>
      <c r="F37" s="23">
        <f t="shared" si="37"/>
        <v>2277</v>
      </c>
      <c r="G37" s="23">
        <f t="shared" si="37"/>
        <v>2277</v>
      </c>
      <c r="H37" s="24">
        <f t="shared" si="37"/>
        <v>2484</v>
      </c>
      <c r="I37" s="43"/>
      <c r="K37" s="3">
        <f aca="true" t="shared" si="38" ref="K37:P37">SUM(K27:K36)</f>
        <v>0.9999999999999999</v>
      </c>
      <c r="L37" s="3">
        <f t="shared" si="38"/>
        <v>0.9999999999999999</v>
      </c>
      <c r="M37" s="3">
        <f t="shared" si="38"/>
        <v>1</v>
      </c>
      <c r="N37" s="3">
        <f t="shared" si="38"/>
        <v>0.9999999999999999</v>
      </c>
      <c r="O37" s="3">
        <f t="shared" si="38"/>
        <v>1</v>
      </c>
      <c r="P37" s="3">
        <f t="shared" si="38"/>
        <v>0.9999999999999996</v>
      </c>
    </row>
    <row r="38" spans="1:10" ht="12.75">
      <c r="A38" s="1"/>
      <c r="B38" s="21" t="s">
        <v>88</v>
      </c>
      <c r="C38" s="35">
        <f>C37/E37</f>
        <v>0.391304347826087</v>
      </c>
      <c r="D38" s="35">
        <f>D37/E37</f>
        <v>0.782608695652174</v>
      </c>
      <c r="E38" s="35">
        <f>E37/E37</f>
        <v>1</v>
      </c>
      <c r="F38" s="35">
        <f>F37/E37</f>
        <v>1.1</v>
      </c>
      <c r="G38" s="35">
        <f>G37/E37</f>
        <v>1.1</v>
      </c>
      <c r="H38" s="35">
        <f>H37/E37</f>
        <v>1.2</v>
      </c>
      <c r="I38" s="35"/>
      <c r="J38" s="1"/>
    </row>
    <row r="39" spans="1:10" ht="12.75">
      <c r="A39" s="1"/>
      <c r="B39" s="21"/>
      <c r="C39" s="35"/>
      <c r="D39" s="35"/>
      <c r="E39" s="35"/>
      <c r="F39" s="35"/>
      <c r="G39" s="35"/>
      <c r="H39" s="35"/>
      <c r="I39" s="35"/>
      <c r="J39" s="1"/>
    </row>
    <row r="40" spans="1:10" ht="12.75">
      <c r="A40" s="6" t="s">
        <v>8</v>
      </c>
      <c r="C40" s="1"/>
      <c r="D40" s="1"/>
      <c r="E40" s="1"/>
      <c r="F40" s="1"/>
      <c r="G40" s="1"/>
      <c r="H40" s="1"/>
      <c r="I40" s="1"/>
      <c r="J40" s="1"/>
    </row>
    <row r="41" spans="1:10" ht="12.75">
      <c r="A41" s="1"/>
      <c r="B41" s="1" t="s">
        <v>9</v>
      </c>
      <c r="C41" s="1">
        <v>2</v>
      </c>
      <c r="D41" s="1">
        <v>3</v>
      </c>
      <c r="E41" s="1">
        <v>6.5</v>
      </c>
      <c r="F41" s="1">
        <v>6.5</v>
      </c>
      <c r="G41" s="1">
        <v>7.5</v>
      </c>
      <c r="H41" s="1">
        <v>8.5</v>
      </c>
      <c r="I41" s="1"/>
      <c r="J41" s="1"/>
    </row>
    <row r="42" spans="1:10" ht="12.75">
      <c r="A42" s="1"/>
      <c r="B42" s="1" t="s">
        <v>114</v>
      </c>
      <c r="C42" s="1">
        <v>0</v>
      </c>
      <c r="D42" s="1">
        <v>0</v>
      </c>
      <c r="E42" s="1">
        <v>2</v>
      </c>
      <c r="F42" s="1">
        <v>2</v>
      </c>
      <c r="G42" s="1">
        <v>2</v>
      </c>
      <c r="H42" s="1">
        <v>2</v>
      </c>
      <c r="I42" s="1"/>
      <c r="J42" s="1"/>
    </row>
    <row r="43" spans="1:10" ht="13.5" thickBot="1">
      <c r="A43" s="1"/>
      <c r="B43" s="1" t="s">
        <v>36</v>
      </c>
      <c r="C43" s="1">
        <v>1</v>
      </c>
      <c r="D43" s="1">
        <v>1</v>
      </c>
      <c r="E43" s="1">
        <v>1</v>
      </c>
      <c r="F43" s="1">
        <v>1</v>
      </c>
      <c r="G43" s="1">
        <v>1</v>
      </c>
      <c r="H43" s="1">
        <v>1</v>
      </c>
      <c r="I43" s="1"/>
      <c r="J43" s="1"/>
    </row>
    <row r="44" spans="1:10" ht="13.5" thickBot="1">
      <c r="A44" s="1"/>
      <c r="B44" s="10" t="s">
        <v>87</v>
      </c>
      <c r="C44" s="26">
        <f aca="true" t="shared" si="39" ref="C44:H44">SUM(C41:C43)</f>
        <v>3</v>
      </c>
      <c r="D44" s="27">
        <f t="shared" si="39"/>
        <v>4</v>
      </c>
      <c r="E44" s="27">
        <f t="shared" si="39"/>
        <v>9.5</v>
      </c>
      <c r="F44" s="27">
        <f t="shared" si="39"/>
        <v>9.5</v>
      </c>
      <c r="G44" s="27">
        <f t="shared" si="39"/>
        <v>10.5</v>
      </c>
      <c r="H44" s="28">
        <f t="shared" si="39"/>
        <v>11.5</v>
      </c>
      <c r="I44" s="33"/>
      <c r="J44" s="1"/>
    </row>
    <row r="45" spans="1:10" ht="12.75">
      <c r="A45" s="1"/>
      <c r="B45" s="10"/>
      <c r="C45" s="33"/>
      <c r="D45" s="33"/>
      <c r="E45" s="33"/>
      <c r="F45" s="33"/>
      <c r="G45" s="33"/>
      <c r="H45" s="33"/>
      <c r="I45" s="33"/>
      <c r="J45" s="1"/>
    </row>
    <row r="46" spans="1:10" ht="12.75">
      <c r="A46" s="1"/>
      <c r="B46" s="10"/>
      <c r="C46" s="33"/>
      <c r="D46" s="33"/>
      <c r="E46" s="33"/>
      <c r="F46" s="33"/>
      <c r="G46" s="33"/>
      <c r="H46" s="33"/>
      <c r="I46" s="33"/>
      <c r="J46" s="1"/>
    </row>
    <row r="47" spans="1:10" ht="12.7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2.75">
      <c r="A48" s="6" t="s">
        <v>11</v>
      </c>
      <c r="C48" s="1"/>
      <c r="D48" s="1"/>
      <c r="E48" s="1"/>
      <c r="F48" s="1"/>
      <c r="G48" s="1"/>
      <c r="H48" s="1"/>
      <c r="I48" s="1"/>
      <c r="J48" s="1"/>
    </row>
    <row r="49" spans="1:10" ht="12.75">
      <c r="A49" s="1"/>
      <c r="B49" s="1" t="s">
        <v>107</v>
      </c>
      <c r="C49" s="4">
        <f>E49</f>
        <v>100</v>
      </c>
      <c r="D49" s="4">
        <f>E49</f>
        <v>100</v>
      </c>
      <c r="E49" s="4">
        <v>100</v>
      </c>
      <c r="F49" s="4">
        <f>E49</f>
        <v>100</v>
      </c>
      <c r="G49" s="4">
        <f>E49*1.2</f>
        <v>120</v>
      </c>
      <c r="H49" s="4">
        <f>E49*1.4</f>
        <v>140</v>
      </c>
      <c r="I49" s="4"/>
      <c r="J49" s="1"/>
    </row>
    <row r="50" spans="1:10" ht="13.5" thickBot="1">
      <c r="A50" s="1"/>
      <c r="B50" s="1" t="s">
        <v>108</v>
      </c>
      <c r="C50" s="4">
        <v>10</v>
      </c>
      <c r="D50" s="4">
        <v>10</v>
      </c>
      <c r="E50" s="4">
        <v>10</v>
      </c>
      <c r="F50" s="4">
        <f>E50*1.2</f>
        <v>12</v>
      </c>
      <c r="G50" s="4">
        <f>E50*1.4</f>
        <v>14</v>
      </c>
      <c r="H50" s="4">
        <f>F50*2</f>
        <v>24</v>
      </c>
      <c r="I50" s="4"/>
      <c r="J50" s="1"/>
    </row>
    <row r="51" spans="1:10" ht="13.5" thickBot="1">
      <c r="A51" s="1"/>
      <c r="B51" s="9" t="s">
        <v>109</v>
      </c>
      <c r="C51" s="31">
        <f aca="true" t="shared" si="40" ref="C51:H51">SUM(C49:C50)</f>
        <v>110</v>
      </c>
      <c r="D51" s="8">
        <f t="shared" si="40"/>
        <v>110</v>
      </c>
      <c r="E51" s="8">
        <f t="shared" si="40"/>
        <v>110</v>
      </c>
      <c r="F51" s="8">
        <f t="shared" si="40"/>
        <v>112</v>
      </c>
      <c r="G51" s="8">
        <f t="shared" si="40"/>
        <v>134</v>
      </c>
      <c r="H51" s="32">
        <f t="shared" si="40"/>
        <v>164</v>
      </c>
      <c r="I51" s="34"/>
      <c r="J51" s="1"/>
    </row>
    <row r="52" spans="1:10" ht="12.75">
      <c r="A52" s="1"/>
      <c r="B52" s="1"/>
      <c r="C52" s="4"/>
      <c r="D52" s="4"/>
      <c r="E52" s="4"/>
      <c r="F52" s="4"/>
      <c r="G52" s="4"/>
      <c r="H52" s="4"/>
      <c r="I52" s="4"/>
      <c r="J52" s="1"/>
    </row>
    <row r="53" spans="1:10" ht="12.75">
      <c r="A53" s="1"/>
      <c r="B53" s="1"/>
      <c r="C53" s="4"/>
      <c r="D53" s="4"/>
      <c r="E53" s="4"/>
      <c r="F53" s="4"/>
      <c r="G53" s="4"/>
      <c r="H53" s="4"/>
      <c r="I53" s="4"/>
      <c r="J53" s="1"/>
    </row>
    <row r="54" spans="1:10" ht="12.75">
      <c r="A54" s="1"/>
      <c r="B54" s="1"/>
      <c r="C54" s="4"/>
      <c r="D54" s="4"/>
      <c r="E54" s="4"/>
      <c r="F54" s="4"/>
      <c r="G54" s="4"/>
      <c r="H54" s="4"/>
      <c r="I54" s="4"/>
      <c r="J54" s="1"/>
    </row>
    <row r="55" spans="1:10" ht="12.75">
      <c r="A55" s="1"/>
      <c r="J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13.5" thickBot="1">
      <c r="A57" s="1" t="s">
        <v>15</v>
      </c>
      <c r="B57" s="1"/>
      <c r="C57" s="1"/>
      <c r="D57" s="1" t="s">
        <v>1</v>
      </c>
      <c r="E57" s="1"/>
      <c r="F57" s="1"/>
      <c r="G57" s="1"/>
      <c r="H57" s="1"/>
    </row>
    <row r="58" spans="1:8" ht="13.5" thickBot="1">
      <c r="A58" s="1" t="s">
        <v>16</v>
      </c>
      <c r="B58" s="1" t="s">
        <v>17</v>
      </c>
      <c r="C58" s="18"/>
      <c r="D58" s="29" t="s">
        <v>86</v>
      </c>
      <c r="E58" s="30">
        <v>1</v>
      </c>
      <c r="F58" s="19"/>
      <c r="G58" s="20" t="s">
        <v>81</v>
      </c>
      <c r="H58" s="20" t="s">
        <v>80</v>
      </c>
    </row>
    <row r="59" spans="2:8" ht="13.5" thickBot="1">
      <c r="B59" s="1"/>
      <c r="C59" s="26" t="s">
        <v>85</v>
      </c>
      <c r="D59" s="27" t="s">
        <v>2</v>
      </c>
      <c r="E59" s="27" t="s">
        <v>3</v>
      </c>
      <c r="F59" s="27" t="s">
        <v>4</v>
      </c>
      <c r="G59" s="27" t="s">
        <v>3</v>
      </c>
      <c r="H59" s="28" t="s">
        <v>3</v>
      </c>
    </row>
    <row r="60" spans="1:8" ht="12.75">
      <c r="A60" s="6" t="s">
        <v>39</v>
      </c>
      <c r="C60" s="1"/>
      <c r="D60" s="1"/>
      <c r="E60" s="1"/>
      <c r="F60" s="1"/>
      <c r="G60" s="1"/>
      <c r="H60" s="1"/>
    </row>
    <row r="61" spans="1:8" ht="12.75">
      <c r="A61" s="1">
        <v>3100</v>
      </c>
      <c r="B61" s="1" t="s">
        <v>68</v>
      </c>
      <c r="C61" s="4">
        <f aca="true" t="shared" si="41" ref="C61:H61">C37*C19*0.35</f>
        <v>2551.5</v>
      </c>
      <c r="D61" s="4">
        <f t="shared" si="41"/>
        <v>5278.7699999999995</v>
      </c>
      <c r="E61" s="4">
        <f t="shared" si="41"/>
        <v>6882.75</v>
      </c>
      <c r="F61" s="4">
        <f t="shared" si="41"/>
        <v>8328.1275</v>
      </c>
      <c r="G61" s="4">
        <f t="shared" si="41"/>
        <v>7949.57625</v>
      </c>
      <c r="H61" s="4">
        <f t="shared" si="41"/>
        <v>9085.23</v>
      </c>
    </row>
    <row r="62" spans="1:8" ht="12.75">
      <c r="A62" s="1">
        <v>3200</v>
      </c>
      <c r="B62" s="1" t="s">
        <v>69</v>
      </c>
      <c r="C62" s="4">
        <f aca="true" t="shared" si="42" ref="C62:H62">C37*C20*0.2</f>
        <v>1428.8400000000001</v>
      </c>
      <c r="D62" s="4">
        <f t="shared" si="42"/>
        <v>2956.1112000000007</v>
      </c>
      <c r="E62" s="4">
        <f t="shared" si="42"/>
        <v>3854.34</v>
      </c>
      <c r="F62" s="4">
        <f t="shared" si="42"/>
        <v>4663.751400000001</v>
      </c>
      <c r="G62" s="4">
        <f t="shared" si="42"/>
        <v>4451.762699999999</v>
      </c>
      <c r="H62" s="4">
        <f t="shared" si="42"/>
        <v>5087.728800000001</v>
      </c>
    </row>
    <row r="63" spans="1:8" ht="12.75">
      <c r="A63" s="1">
        <v>3300</v>
      </c>
      <c r="B63" s="1" t="s">
        <v>118</v>
      </c>
      <c r="C63" s="4">
        <f aca="true" t="shared" si="43" ref="C63:H63">C37*C21*0.25</f>
        <v>1749.6000000000001</v>
      </c>
      <c r="D63" s="4">
        <f t="shared" si="43"/>
        <v>3619.728</v>
      </c>
      <c r="E63" s="4">
        <f t="shared" si="43"/>
        <v>4719.599999999999</v>
      </c>
      <c r="F63" s="4">
        <f t="shared" si="43"/>
        <v>5710.716</v>
      </c>
      <c r="G63" s="4">
        <f t="shared" si="43"/>
        <v>5451.137999999999</v>
      </c>
      <c r="H63" s="4">
        <f t="shared" si="43"/>
        <v>6229.872</v>
      </c>
    </row>
    <row r="64" spans="1:8" ht="12.75">
      <c r="A64" s="1">
        <v>3400</v>
      </c>
      <c r="B64" s="1" t="s">
        <v>117</v>
      </c>
      <c r="C64" s="4">
        <f aca="true" t="shared" si="44" ref="C64:H64">C37*C22*0.1</f>
        <v>510.3</v>
      </c>
      <c r="D64" s="4">
        <f t="shared" si="44"/>
        <v>1055.7540000000001</v>
      </c>
      <c r="E64" s="4">
        <f t="shared" si="44"/>
        <v>1376.55</v>
      </c>
      <c r="F64" s="4">
        <f t="shared" si="44"/>
        <v>1665.6255</v>
      </c>
      <c r="G64" s="4">
        <f t="shared" si="44"/>
        <v>1589.91525</v>
      </c>
      <c r="H64" s="4">
        <f t="shared" si="44"/>
        <v>1817.0460000000003</v>
      </c>
    </row>
    <row r="65" spans="1:8" ht="13.5" thickBot="1">
      <c r="A65" s="1">
        <v>3800</v>
      </c>
      <c r="B65" s="1" t="s">
        <v>70</v>
      </c>
      <c r="C65" s="4">
        <f>C37*C23*0.15</f>
        <v>131.22</v>
      </c>
      <c r="D65" s="4">
        <f>D37*D23*0.15</f>
        <v>271.4796</v>
      </c>
      <c r="E65" s="4">
        <f>E37*E23*0.15</f>
        <v>353.96999999999997</v>
      </c>
      <c r="F65" s="4">
        <f>F37*F23*0.1</f>
        <v>285.53580000000005</v>
      </c>
      <c r="G65" s="4">
        <f>G37*G23*0.1</f>
        <v>272.5569</v>
      </c>
      <c r="H65" s="4">
        <f>H37*H23*0.1</f>
        <v>311.4936</v>
      </c>
    </row>
    <row r="66" spans="2:8" ht="13.5" thickBot="1">
      <c r="B66" s="7" t="s">
        <v>71</v>
      </c>
      <c r="C66" s="8">
        <f aca="true" t="shared" si="45" ref="C66:H66">SUM(C61:C65)</f>
        <v>6371.460000000001</v>
      </c>
      <c r="D66" s="8">
        <f t="shared" si="45"/>
        <v>13181.8428</v>
      </c>
      <c r="E66" s="8">
        <f t="shared" si="45"/>
        <v>17187.21</v>
      </c>
      <c r="F66" s="8">
        <f t="shared" si="45"/>
        <v>20653.756200000007</v>
      </c>
      <c r="G66" s="8">
        <f t="shared" si="45"/>
        <v>19714.949099999994</v>
      </c>
      <c r="H66" s="8">
        <f t="shared" si="45"/>
        <v>22531.3704</v>
      </c>
    </row>
    <row r="67" spans="1:10" ht="12.75">
      <c r="A67" s="1"/>
      <c r="C67" s="1"/>
      <c r="D67" s="1"/>
      <c r="E67" s="1"/>
      <c r="F67" s="1"/>
      <c r="G67" s="1"/>
      <c r="H67" s="1"/>
      <c r="J67" s="2"/>
    </row>
    <row r="68" spans="1:8" ht="12.75">
      <c r="A68" s="6" t="s">
        <v>18</v>
      </c>
      <c r="C68" s="1"/>
      <c r="D68" s="1"/>
      <c r="E68" s="1"/>
      <c r="F68" s="1"/>
      <c r="G68" s="1"/>
      <c r="H68" s="1"/>
    </row>
    <row r="69" spans="1:10" ht="12.75">
      <c r="A69" s="1">
        <v>4200</v>
      </c>
      <c r="B69" s="1" t="s">
        <v>40</v>
      </c>
      <c r="C69" s="4">
        <f aca="true" t="shared" si="46" ref="C69:H69">C37*C6/1000</f>
        <v>2490.2639999999997</v>
      </c>
      <c r="D69" s="4">
        <f t="shared" si="46"/>
        <v>4911.354</v>
      </c>
      <c r="E69" s="4">
        <f t="shared" si="46"/>
        <v>6187.229999999999</v>
      </c>
      <c r="F69" s="4">
        <f t="shared" si="46"/>
        <v>6533.714879999999</v>
      </c>
      <c r="G69" s="4">
        <f t="shared" si="46"/>
        <v>6805.9529999999995</v>
      </c>
      <c r="H69" s="4">
        <f t="shared" si="46"/>
        <v>7424.6759999999995</v>
      </c>
      <c r="J69" s="2"/>
    </row>
    <row r="70" spans="1:10" ht="12.75">
      <c r="A70" s="1">
        <v>4400</v>
      </c>
      <c r="B70" s="1" t="s">
        <v>30</v>
      </c>
      <c r="C70" s="4">
        <f aca="true" t="shared" si="47" ref="C70:H70">C37*C13/1000</f>
        <v>186.3</v>
      </c>
      <c r="D70" s="4">
        <f t="shared" si="47"/>
        <v>372.6</v>
      </c>
      <c r="E70" s="4">
        <f t="shared" si="47"/>
        <v>476.1</v>
      </c>
      <c r="F70" s="4">
        <f t="shared" si="47"/>
        <v>523.71</v>
      </c>
      <c r="G70" s="4">
        <f t="shared" si="47"/>
        <v>549.8955</v>
      </c>
      <c r="H70" s="4">
        <f t="shared" si="47"/>
        <v>628.4520000000001</v>
      </c>
      <c r="I70" s="47"/>
      <c r="J70" s="2"/>
    </row>
    <row r="71" spans="1:10" ht="12.75">
      <c r="A71" s="1">
        <v>4500</v>
      </c>
      <c r="B71" s="1" t="s">
        <v>41</v>
      </c>
      <c r="C71" s="4">
        <f aca="true" t="shared" si="48" ref="C71:H71">C37*(0.2/1+0.15/2+0.1/5+0.1/10+0.2/20+0.15/50+0.1/50)*1</f>
        <v>259.20000000000005</v>
      </c>
      <c r="D71" s="4">
        <f t="shared" si="48"/>
        <v>518.4000000000001</v>
      </c>
      <c r="E71" s="4">
        <f t="shared" si="48"/>
        <v>662.4000000000001</v>
      </c>
      <c r="F71" s="4">
        <f t="shared" si="48"/>
        <v>728.6400000000001</v>
      </c>
      <c r="G71" s="4">
        <f t="shared" si="48"/>
        <v>728.6400000000001</v>
      </c>
      <c r="H71" s="4">
        <f t="shared" si="48"/>
        <v>794.8800000000001</v>
      </c>
      <c r="J71" s="1"/>
    </row>
    <row r="72" spans="1:10" ht="13.5" thickBot="1">
      <c r="A72" s="1">
        <v>4900</v>
      </c>
      <c r="B72" s="1" t="s">
        <v>19</v>
      </c>
      <c r="C72" s="4">
        <f aca="true" t="shared" si="49" ref="C72:H72">C37*C11/1000</f>
        <v>1736.5217399999997</v>
      </c>
      <c r="D72" s="4">
        <f t="shared" si="49"/>
        <v>3473.0434799999994</v>
      </c>
      <c r="E72" s="4">
        <f t="shared" si="49"/>
        <v>4437.777779999999</v>
      </c>
      <c r="F72" s="4">
        <f t="shared" si="49"/>
        <v>4881.555557999999</v>
      </c>
      <c r="G72" s="4">
        <f t="shared" si="49"/>
        <v>5076.81778032</v>
      </c>
      <c r="H72" s="4">
        <f t="shared" si="49"/>
        <v>5857.8666696</v>
      </c>
      <c r="J72" s="1"/>
    </row>
    <row r="73" spans="1:10" ht="13.5" thickBot="1">
      <c r="A73" s="1"/>
      <c r="B73" s="10" t="s">
        <v>75</v>
      </c>
      <c r="C73" s="8">
        <f aca="true" t="shared" si="50" ref="C73:H73">SUM(C69:C72)</f>
        <v>4672.285739999999</v>
      </c>
      <c r="D73" s="8">
        <f t="shared" si="50"/>
        <v>9275.39748</v>
      </c>
      <c r="E73" s="8">
        <f t="shared" si="50"/>
        <v>11763.50778</v>
      </c>
      <c r="F73" s="8">
        <f t="shared" si="50"/>
        <v>12667.620437999998</v>
      </c>
      <c r="G73" s="8">
        <f t="shared" si="50"/>
        <v>13161.30628032</v>
      </c>
      <c r="H73" s="8">
        <f t="shared" si="50"/>
        <v>14705.8746696</v>
      </c>
      <c r="J73" s="1"/>
    </row>
    <row r="74" spans="1:10" ht="12.75">
      <c r="A74" s="1"/>
      <c r="B74" s="1"/>
      <c r="C74" s="4"/>
      <c r="D74" s="4"/>
      <c r="E74" s="4"/>
      <c r="F74" s="1"/>
      <c r="G74" s="1"/>
      <c r="H74" s="1"/>
      <c r="J74" s="1"/>
    </row>
    <row r="75" spans="1:10" ht="13.5" thickBot="1">
      <c r="A75" s="6" t="s">
        <v>76</v>
      </c>
      <c r="C75" s="4">
        <f aca="true" t="shared" si="51" ref="C75:H75">C66-C73</f>
        <v>1699.1742600000016</v>
      </c>
      <c r="D75" s="4">
        <f t="shared" si="51"/>
        <v>3906.4453200000007</v>
      </c>
      <c r="E75" s="4">
        <f t="shared" si="51"/>
        <v>5423.702219999999</v>
      </c>
      <c r="F75" s="4">
        <f t="shared" si="51"/>
        <v>7986.135762000009</v>
      </c>
      <c r="G75" s="4">
        <f t="shared" si="51"/>
        <v>6553.642819679995</v>
      </c>
      <c r="H75" s="4">
        <f t="shared" si="51"/>
        <v>7825.4957304</v>
      </c>
      <c r="J75" s="1"/>
    </row>
    <row r="76" spans="1:10" ht="13.5" thickBot="1">
      <c r="A76" s="1"/>
      <c r="B76" s="10" t="s">
        <v>42</v>
      </c>
      <c r="C76" s="12">
        <f aca="true" t="shared" si="52" ref="C76:H76">C75/C66</f>
        <v>0.26668522756165797</v>
      </c>
      <c r="D76" s="13">
        <f t="shared" si="52"/>
        <v>0.2963504708158104</v>
      </c>
      <c r="E76" s="13">
        <f t="shared" si="52"/>
        <v>0.3155661808984704</v>
      </c>
      <c r="F76" s="13">
        <f t="shared" si="52"/>
        <v>0.38666747513946187</v>
      </c>
      <c r="G76" s="13">
        <f t="shared" si="52"/>
        <v>0.33241997158795594</v>
      </c>
      <c r="H76" s="14">
        <f t="shared" si="52"/>
        <v>0.3473155689811038</v>
      </c>
      <c r="I76" s="1"/>
      <c r="J76" s="1"/>
    </row>
    <row r="77" spans="1:10" ht="12.75">
      <c r="A77" s="1"/>
      <c r="B77" s="1"/>
      <c r="C77" s="3"/>
      <c r="D77" s="3"/>
      <c r="E77" s="3"/>
      <c r="F77" s="3"/>
      <c r="G77" s="3"/>
      <c r="H77" s="3"/>
      <c r="I77" s="1"/>
      <c r="J77" s="1"/>
    </row>
    <row r="78" spans="1:10" ht="12.75">
      <c r="A78" s="1"/>
      <c r="B78" s="1"/>
      <c r="C78" s="3"/>
      <c r="D78" s="3"/>
      <c r="E78" s="3"/>
      <c r="F78" s="3"/>
      <c r="G78" s="3"/>
      <c r="H78" s="3"/>
      <c r="I78" s="1"/>
      <c r="J78" s="1"/>
    </row>
    <row r="79" spans="1:10" ht="12.75">
      <c r="A79" s="6" t="s">
        <v>43</v>
      </c>
      <c r="C79" s="1"/>
      <c r="D79" s="1"/>
      <c r="E79" s="1"/>
      <c r="F79" s="1"/>
      <c r="G79" s="1"/>
      <c r="H79" s="1"/>
      <c r="I79" s="1"/>
      <c r="J79" s="1"/>
    </row>
    <row r="80" spans="1:10" ht="12.75">
      <c r="A80" s="1">
        <v>5010</v>
      </c>
      <c r="B80" s="1" t="s">
        <v>44</v>
      </c>
      <c r="C80" s="4">
        <f>13*12*C41</f>
        <v>312</v>
      </c>
      <c r="D80" s="4">
        <f>13*12*D41</f>
        <v>468</v>
      </c>
      <c r="E80" s="4">
        <f>13*12*E41</f>
        <v>1014</v>
      </c>
      <c r="F80" s="4">
        <f>13*12*F41</f>
        <v>1014</v>
      </c>
      <c r="G80" s="4">
        <f>14*12*G41</f>
        <v>1260</v>
      </c>
      <c r="H80" s="4">
        <f>14*12*H41</f>
        <v>1428</v>
      </c>
      <c r="I80" s="1"/>
      <c r="J80" s="1"/>
    </row>
    <row r="81" spans="1:10" ht="12.75">
      <c r="A81" s="1">
        <v>5210</v>
      </c>
      <c r="B81" s="1" t="s">
        <v>45</v>
      </c>
      <c r="C81" s="4">
        <f>18*12*C42/2</f>
        <v>0</v>
      </c>
      <c r="D81" s="4">
        <f>18*12*D42</f>
        <v>0</v>
      </c>
      <c r="E81" s="4">
        <f>18*12*E42*0.75</f>
        <v>324</v>
      </c>
      <c r="F81" s="4">
        <f>18*12*F42</f>
        <v>432</v>
      </c>
      <c r="G81" s="4">
        <f>18*12*G42</f>
        <v>432</v>
      </c>
      <c r="H81" s="4">
        <f>20*12*H42</f>
        <v>480</v>
      </c>
      <c r="I81" s="1"/>
      <c r="J81" s="1"/>
    </row>
    <row r="82" spans="1:10" ht="12.75">
      <c r="A82" s="1">
        <v>5210</v>
      </c>
      <c r="B82" s="1" t="s">
        <v>46</v>
      </c>
      <c r="C82" s="4">
        <f>18*12*C43</f>
        <v>216</v>
      </c>
      <c r="D82" s="4">
        <f>22*12*D43</f>
        <v>264</v>
      </c>
      <c r="E82" s="4">
        <f>25*12*E43</f>
        <v>300</v>
      </c>
      <c r="F82" s="4">
        <f>25*12*F43</f>
        <v>300</v>
      </c>
      <c r="G82" s="4">
        <f>25*12*G43</f>
        <v>300</v>
      </c>
      <c r="H82" s="4">
        <f>28*12*H43</f>
        <v>336</v>
      </c>
      <c r="I82" s="1"/>
      <c r="J82" s="1"/>
    </row>
    <row r="83" spans="1:10" ht="12.75">
      <c r="A83" s="1">
        <v>5400</v>
      </c>
      <c r="B83" s="1" t="s">
        <v>47</v>
      </c>
      <c r="C83" s="4">
        <f aca="true" t="shared" si="53" ref="C83:H83">(C80+C81+C82)*0.01</f>
        <v>5.28</v>
      </c>
      <c r="D83" s="4">
        <f t="shared" si="53"/>
        <v>7.32</v>
      </c>
      <c r="E83" s="4">
        <f t="shared" si="53"/>
        <v>16.38</v>
      </c>
      <c r="F83" s="4">
        <f t="shared" si="53"/>
        <v>17.46</v>
      </c>
      <c r="G83" s="4">
        <f t="shared" si="53"/>
        <v>19.92</v>
      </c>
      <c r="H83" s="4">
        <f t="shared" si="53"/>
        <v>22.44</v>
      </c>
      <c r="I83" s="1"/>
      <c r="J83" s="1"/>
    </row>
    <row r="84" spans="1:10" ht="12.75">
      <c r="A84" s="1">
        <v>5520</v>
      </c>
      <c r="B84" s="1" t="s">
        <v>20</v>
      </c>
      <c r="C84" s="4">
        <f aca="true" t="shared" si="54" ref="C84:H84">(C80+C81+C82)*0.01</f>
        <v>5.28</v>
      </c>
      <c r="D84" s="4">
        <f t="shared" si="54"/>
        <v>7.32</v>
      </c>
      <c r="E84" s="4">
        <f t="shared" si="54"/>
        <v>16.38</v>
      </c>
      <c r="F84" s="4">
        <f t="shared" si="54"/>
        <v>17.46</v>
      </c>
      <c r="G84" s="4">
        <f t="shared" si="54"/>
        <v>19.92</v>
      </c>
      <c r="H84" s="4">
        <f t="shared" si="54"/>
        <v>22.44</v>
      </c>
      <c r="I84" s="4"/>
      <c r="J84" s="1"/>
    </row>
    <row r="85" spans="1:10" ht="12.75">
      <c r="A85" s="1">
        <v>5530</v>
      </c>
      <c r="B85" s="1" t="s">
        <v>48</v>
      </c>
      <c r="C85" s="4">
        <f aca="true" t="shared" si="55" ref="C85:H85">(C80+C81+C82)*0.15</f>
        <v>79.2</v>
      </c>
      <c r="D85" s="4">
        <f t="shared" si="55"/>
        <v>109.8</v>
      </c>
      <c r="E85" s="4">
        <f t="shared" si="55"/>
        <v>245.7</v>
      </c>
      <c r="F85" s="4">
        <f t="shared" si="55"/>
        <v>261.9</v>
      </c>
      <c r="G85" s="4">
        <f t="shared" si="55"/>
        <v>298.8</v>
      </c>
      <c r="H85" s="4">
        <f t="shared" si="55"/>
        <v>336.59999999999997</v>
      </c>
      <c r="I85" s="4"/>
      <c r="J85" s="1"/>
    </row>
    <row r="86" spans="1:10" ht="12.75">
      <c r="A86" s="1">
        <v>5610</v>
      </c>
      <c r="B86" s="1" t="s">
        <v>49</v>
      </c>
      <c r="C86" s="4">
        <f aca="true" t="shared" si="56" ref="C86:H86">(C80+C81+C82)*0.3306</f>
        <v>174.5568</v>
      </c>
      <c r="D86" s="4">
        <f t="shared" si="56"/>
        <v>241.9992</v>
      </c>
      <c r="E86" s="4">
        <f t="shared" si="56"/>
        <v>541.5228</v>
      </c>
      <c r="F86" s="4">
        <f t="shared" si="56"/>
        <v>577.2276</v>
      </c>
      <c r="G86" s="4">
        <f t="shared" si="56"/>
        <v>658.5552</v>
      </c>
      <c r="H86" s="4">
        <f t="shared" si="56"/>
        <v>741.8664</v>
      </c>
      <c r="I86" s="4"/>
      <c r="J86" s="1"/>
    </row>
    <row r="87" spans="1:10" ht="12.75">
      <c r="A87" s="1">
        <v>5710</v>
      </c>
      <c r="B87" s="1" t="s">
        <v>50</v>
      </c>
      <c r="C87" s="4">
        <f aca="true" t="shared" si="57" ref="C87:H87">(C80+C81+C82)*0.06</f>
        <v>31.68</v>
      </c>
      <c r="D87" s="4">
        <f t="shared" si="57"/>
        <v>43.92</v>
      </c>
      <c r="E87" s="4">
        <f t="shared" si="57"/>
        <v>98.28</v>
      </c>
      <c r="F87" s="4">
        <f t="shared" si="57"/>
        <v>104.75999999999999</v>
      </c>
      <c r="G87" s="4">
        <f t="shared" si="57"/>
        <v>119.52</v>
      </c>
      <c r="H87" s="4">
        <f t="shared" si="57"/>
        <v>134.64</v>
      </c>
      <c r="I87" s="4"/>
      <c r="J87" s="1"/>
    </row>
    <row r="88" spans="1:10" ht="12.75">
      <c r="A88" s="1">
        <v>5760</v>
      </c>
      <c r="B88" s="1" t="s">
        <v>21</v>
      </c>
      <c r="C88" s="4">
        <f aca="true" t="shared" si="58" ref="C88:H88">(C80+C81+C82)*0.01</f>
        <v>5.28</v>
      </c>
      <c r="D88" s="4">
        <f t="shared" si="58"/>
        <v>7.32</v>
      </c>
      <c r="E88" s="4">
        <f t="shared" si="58"/>
        <v>16.38</v>
      </c>
      <c r="F88" s="4">
        <f t="shared" si="58"/>
        <v>17.46</v>
      </c>
      <c r="G88" s="4">
        <f t="shared" si="58"/>
        <v>19.92</v>
      </c>
      <c r="H88" s="4">
        <f t="shared" si="58"/>
        <v>22.44</v>
      </c>
      <c r="I88" s="4"/>
      <c r="J88" s="1"/>
    </row>
    <row r="89" spans="1:10" ht="13.5" thickBot="1">
      <c r="A89" s="1">
        <v>5800</v>
      </c>
      <c r="B89" s="1" t="s">
        <v>51</v>
      </c>
      <c r="C89" s="4">
        <f aca="true" t="shared" si="59" ref="C89:H89">(C80+C81+C82)*0.02</f>
        <v>10.56</v>
      </c>
      <c r="D89" s="4">
        <f t="shared" si="59"/>
        <v>14.64</v>
      </c>
      <c r="E89" s="4">
        <f t="shared" si="59"/>
        <v>32.76</v>
      </c>
      <c r="F89" s="4">
        <f t="shared" si="59"/>
        <v>34.92</v>
      </c>
      <c r="G89" s="4">
        <f t="shared" si="59"/>
        <v>39.84</v>
      </c>
      <c r="H89" s="4">
        <f t="shared" si="59"/>
        <v>44.88</v>
      </c>
      <c r="I89" s="34"/>
      <c r="J89" s="1"/>
    </row>
    <row r="90" spans="1:10" ht="13.5" thickBot="1">
      <c r="A90" s="1"/>
      <c r="B90" s="10" t="s">
        <v>22</v>
      </c>
      <c r="C90" s="31">
        <f aca="true" t="shared" si="60" ref="C90:H90">SUM(C80:C89)</f>
        <v>839.8367999999999</v>
      </c>
      <c r="D90" s="8">
        <f t="shared" si="60"/>
        <v>1164.3192000000001</v>
      </c>
      <c r="E90" s="8">
        <f t="shared" si="60"/>
        <v>2605.4028000000008</v>
      </c>
      <c r="F90" s="8">
        <f t="shared" si="60"/>
        <v>2777.1876</v>
      </c>
      <c r="G90" s="8">
        <f t="shared" si="60"/>
        <v>3168.4752000000003</v>
      </c>
      <c r="H90" s="32">
        <f t="shared" si="60"/>
        <v>3569.3064</v>
      </c>
      <c r="I90" s="1"/>
      <c r="J90" s="1"/>
    </row>
    <row r="91" spans="1:10" ht="12.75">
      <c r="A91" s="1"/>
      <c r="B91" s="9"/>
      <c r="C91" s="34"/>
      <c r="D91" s="34"/>
      <c r="E91" s="34"/>
      <c r="F91" s="34"/>
      <c r="G91" s="34"/>
      <c r="H91" s="34"/>
      <c r="I91" s="1"/>
      <c r="J91" s="1"/>
    </row>
    <row r="92" spans="1:10" ht="12.75">
      <c r="A92" s="1"/>
      <c r="B92" s="9"/>
      <c r="C92" s="34"/>
      <c r="D92" s="34"/>
      <c r="E92" s="34"/>
      <c r="F92" s="34"/>
      <c r="G92" s="34"/>
      <c r="H92" s="34"/>
      <c r="I92" s="4"/>
      <c r="J92" s="1"/>
    </row>
    <row r="93" spans="1:10" ht="12.75">
      <c r="A93" s="6" t="s">
        <v>52</v>
      </c>
      <c r="C93" s="1"/>
      <c r="D93" s="1"/>
      <c r="E93" s="1"/>
      <c r="F93" s="1"/>
      <c r="G93" s="1"/>
      <c r="H93" s="1"/>
      <c r="I93" s="11"/>
      <c r="J93" s="1"/>
    </row>
    <row r="94" spans="1:10" ht="12.75">
      <c r="A94" s="1">
        <v>6010</v>
      </c>
      <c r="B94" s="1" t="s">
        <v>23</v>
      </c>
      <c r="C94" s="4">
        <f aca="true" t="shared" si="61" ref="C94:H94">C51</f>
        <v>110</v>
      </c>
      <c r="D94" s="4">
        <f t="shared" si="61"/>
        <v>110</v>
      </c>
      <c r="E94" s="4">
        <f t="shared" si="61"/>
        <v>110</v>
      </c>
      <c r="F94" s="4">
        <f t="shared" si="61"/>
        <v>112</v>
      </c>
      <c r="G94" s="4">
        <f t="shared" si="61"/>
        <v>134</v>
      </c>
      <c r="H94" s="4">
        <f t="shared" si="61"/>
        <v>164</v>
      </c>
      <c r="I94" s="4"/>
      <c r="J94" s="1"/>
    </row>
    <row r="95" spans="1:10" ht="12.75">
      <c r="A95" s="1">
        <v>6090</v>
      </c>
      <c r="B95" s="1" t="s">
        <v>53</v>
      </c>
      <c r="C95" s="4">
        <f aca="true" t="shared" si="62" ref="C95:H95">C94*0.1</f>
        <v>11</v>
      </c>
      <c r="D95" s="4">
        <f t="shared" si="62"/>
        <v>11</v>
      </c>
      <c r="E95" s="4">
        <f t="shared" si="62"/>
        <v>11</v>
      </c>
      <c r="F95" s="4">
        <f t="shared" si="62"/>
        <v>11.200000000000001</v>
      </c>
      <c r="G95" s="4">
        <f t="shared" si="62"/>
        <v>13.4</v>
      </c>
      <c r="H95" s="4">
        <f t="shared" si="62"/>
        <v>16.400000000000002</v>
      </c>
      <c r="I95" s="4"/>
      <c r="J95" s="1"/>
    </row>
    <row r="96" spans="1:10" ht="12.75">
      <c r="A96" s="1">
        <v>6200</v>
      </c>
      <c r="B96" s="1" t="s">
        <v>24</v>
      </c>
      <c r="C96" s="4">
        <f>E96*C37/E37</f>
        <v>20.25</v>
      </c>
      <c r="D96" s="4">
        <f>E96*D37/E37</f>
        <v>40.5</v>
      </c>
      <c r="E96" s="4">
        <f>E37*0.025</f>
        <v>51.75</v>
      </c>
      <c r="F96" s="4">
        <f>E96*F37/E37</f>
        <v>56.925</v>
      </c>
      <c r="G96" s="4">
        <f>E96*G37/E37</f>
        <v>56.925</v>
      </c>
      <c r="H96" s="4">
        <f>E96*H37/E37</f>
        <v>62.1</v>
      </c>
      <c r="I96" s="34"/>
      <c r="J96" s="1"/>
    </row>
    <row r="97" spans="1:10" ht="12.75">
      <c r="A97" s="1">
        <v>6300</v>
      </c>
      <c r="B97" s="1" t="s">
        <v>54</v>
      </c>
      <c r="C97" s="4">
        <f>E97*C37/E37</f>
        <v>2.43</v>
      </c>
      <c r="D97" s="4">
        <f>E97/E37*D37</f>
        <v>4.86</v>
      </c>
      <c r="E97" s="4">
        <f>E37*0.003</f>
        <v>6.21</v>
      </c>
      <c r="F97" s="4">
        <f>E97/E37*F37</f>
        <v>6.831</v>
      </c>
      <c r="G97" s="4">
        <f>E97/E37*G37</f>
        <v>6.831</v>
      </c>
      <c r="H97" s="4">
        <f>E97/E37*H37</f>
        <v>7.452</v>
      </c>
      <c r="I97" s="1"/>
      <c r="J97" s="1"/>
    </row>
    <row r="98" spans="1:10" ht="12.75">
      <c r="A98" s="1">
        <v>6400</v>
      </c>
      <c r="B98" s="1" t="s">
        <v>55</v>
      </c>
      <c r="C98" s="4">
        <f>E98/E37*C37</f>
        <v>4.05</v>
      </c>
      <c r="D98" s="4">
        <f>E98/E37*D37</f>
        <v>8.1</v>
      </c>
      <c r="E98" s="4">
        <f>E37*0.005</f>
        <v>10.35</v>
      </c>
      <c r="F98" s="4">
        <f>E98*F37/E37</f>
        <v>11.385</v>
      </c>
      <c r="G98" s="4">
        <f>F98*G37/F37</f>
        <v>11.385</v>
      </c>
      <c r="H98" s="4">
        <f>G98*H37/G37</f>
        <v>12.42</v>
      </c>
      <c r="I98" s="4"/>
      <c r="J98" s="1"/>
    </row>
    <row r="99" spans="1:10" ht="12.75">
      <c r="A99" s="1">
        <v>6500</v>
      </c>
      <c r="B99" s="1" t="s">
        <v>25</v>
      </c>
      <c r="C99" s="4">
        <f>E99*C38</f>
        <v>2.43</v>
      </c>
      <c r="D99" s="4">
        <f>E99*D38</f>
        <v>4.86</v>
      </c>
      <c r="E99" s="4">
        <f>E37*0.003</f>
        <v>6.21</v>
      </c>
      <c r="F99" s="4">
        <f>E99*F38</f>
        <v>6.831</v>
      </c>
      <c r="G99" s="4">
        <f>E99*G38</f>
        <v>6.831</v>
      </c>
      <c r="H99" s="4">
        <f>E99*H38</f>
        <v>7.452</v>
      </c>
      <c r="I99" s="44"/>
      <c r="J99" s="1"/>
    </row>
    <row r="100" spans="1:10" ht="12.75">
      <c r="A100" s="1">
        <v>6600</v>
      </c>
      <c r="B100" s="1" t="s">
        <v>56</v>
      </c>
      <c r="C100" s="4">
        <f>E100*C38</f>
        <v>8.1</v>
      </c>
      <c r="D100" s="4">
        <f>E100*D38</f>
        <v>16.2</v>
      </c>
      <c r="E100" s="4">
        <f>E37*0.01</f>
        <v>20.7</v>
      </c>
      <c r="F100" s="4">
        <f>E100*F38</f>
        <v>22.77</v>
      </c>
      <c r="G100" s="4">
        <f>E100*G38</f>
        <v>22.77</v>
      </c>
      <c r="H100" s="4">
        <f>E100*H38*1.25</f>
        <v>31.05</v>
      </c>
      <c r="I100" s="3"/>
      <c r="J100" s="1"/>
    </row>
    <row r="101" spans="1:10" ht="12.75">
      <c r="A101" s="1">
        <v>6730</v>
      </c>
      <c r="B101" s="1" t="s">
        <v>57</v>
      </c>
      <c r="C101" s="4">
        <f>E101*C38</f>
        <v>6.4799999999999995</v>
      </c>
      <c r="D101" s="4">
        <f>E101*D38</f>
        <v>12.959999999999999</v>
      </c>
      <c r="E101" s="4">
        <f>E37*0.008</f>
        <v>16.56</v>
      </c>
      <c r="F101" s="4">
        <f>E101*F38</f>
        <v>18.216</v>
      </c>
      <c r="G101" s="4">
        <f>E101*G38*1.1</f>
        <v>20.0376</v>
      </c>
      <c r="H101" s="4">
        <f>E101*H38*1.3</f>
        <v>25.833599999999997</v>
      </c>
      <c r="I101" s="3"/>
      <c r="J101" s="1"/>
    </row>
    <row r="102" spans="1:10" ht="12.75">
      <c r="A102" s="1">
        <v>6760</v>
      </c>
      <c r="B102" s="1" t="s">
        <v>26</v>
      </c>
      <c r="C102" s="4">
        <f>E102*C38</f>
        <v>2.5920000000000005</v>
      </c>
      <c r="D102" s="4">
        <f>E102*D38</f>
        <v>5.184000000000001</v>
      </c>
      <c r="E102" s="4">
        <f>E37*0.0032</f>
        <v>6.6240000000000006</v>
      </c>
      <c r="F102" s="4">
        <f>E102*F38</f>
        <v>7.286400000000001</v>
      </c>
      <c r="G102" s="4">
        <f>E102*G38</f>
        <v>7.286400000000001</v>
      </c>
      <c r="H102" s="4">
        <f>E102*H38</f>
        <v>7.9488</v>
      </c>
      <c r="I102" s="1"/>
      <c r="J102" s="1"/>
    </row>
    <row r="103" spans="1:10" ht="12.75">
      <c r="A103" s="1">
        <v>6790</v>
      </c>
      <c r="B103" s="1" t="s">
        <v>89</v>
      </c>
      <c r="C103" s="4">
        <f>E103*C38</f>
        <v>6.4799999999999995</v>
      </c>
      <c r="D103" s="4">
        <f>E103*D38</f>
        <v>12.959999999999999</v>
      </c>
      <c r="E103" s="4">
        <f>E37*0.008</f>
        <v>16.56</v>
      </c>
      <c r="F103" s="4">
        <f>E103*F38</f>
        <v>18.216</v>
      </c>
      <c r="G103" s="4">
        <f>E103*G38</f>
        <v>18.216</v>
      </c>
      <c r="H103" s="4">
        <f>E103*H38</f>
        <v>19.871999999999996</v>
      </c>
      <c r="I103" s="4"/>
      <c r="J103" s="1"/>
    </row>
    <row r="104" spans="1:10" ht="12.75">
      <c r="A104" s="1">
        <v>6800</v>
      </c>
      <c r="B104" s="1" t="s">
        <v>27</v>
      </c>
      <c r="C104" s="4">
        <f>E104*C38</f>
        <v>12.149999999999999</v>
      </c>
      <c r="D104" s="4">
        <f>E104*D38</f>
        <v>24.299999999999997</v>
      </c>
      <c r="E104" s="4">
        <f>E37*0.015</f>
        <v>31.049999999999997</v>
      </c>
      <c r="F104" s="4">
        <f>E104*F38</f>
        <v>34.155</v>
      </c>
      <c r="G104" s="4">
        <f>E104*G38</f>
        <v>34.155</v>
      </c>
      <c r="H104" s="4">
        <f>E104*H38</f>
        <v>37.26</v>
      </c>
      <c r="I104" s="4"/>
      <c r="J104" s="1"/>
    </row>
    <row r="105" spans="1:10" ht="12.75">
      <c r="A105" s="1">
        <v>6910</v>
      </c>
      <c r="B105" s="1" t="s">
        <v>28</v>
      </c>
      <c r="C105" s="4">
        <f>E105*C38</f>
        <v>8.1</v>
      </c>
      <c r="D105" s="4">
        <f>E105*D38</f>
        <v>16.2</v>
      </c>
      <c r="E105" s="4">
        <f>E37*0.01</f>
        <v>20.7</v>
      </c>
      <c r="F105" s="4">
        <f>E105*F38</f>
        <v>22.77</v>
      </c>
      <c r="G105" s="4">
        <f>E105*G38</f>
        <v>22.77</v>
      </c>
      <c r="H105" s="4">
        <f>E105*H38</f>
        <v>24.84</v>
      </c>
      <c r="I105" s="4"/>
      <c r="J105" s="1"/>
    </row>
    <row r="106" spans="1:10" ht="12.75">
      <c r="A106" s="1">
        <v>6915</v>
      </c>
      <c r="B106" s="1" t="s">
        <v>29</v>
      </c>
      <c r="C106" s="4">
        <f>E106*C38</f>
        <v>8.1</v>
      </c>
      <c r="D106" s="4">
        <f>E106*D38</f>
        <v>16.2</v>
      </c>
      <c r="E106" s="4">
        <f>E37*0.01</f>
        <v>20.7</v>
      </c>
      <c r="F106" s="4">
        <f>E106*F38</f>
        <v>22.77</v>
      </c>
      <c r="G106" s="4">
        <f>E106*G38</f>
        <v>22.77</v>
      </c>
      <c r="H106" s="4">
        <f>E106*H38</f>
        <v>24.84</v>
      </c>
      <c r="I106" s="4"/>
      <c r="J106" s="1"/>
    </row>
    <row r="107" spans="1:10" ht="12.75">
      <c r="A107" s="1">
        <v>7000</v>
      </c>
      <c r="B107" s="1" t="s">
        <v>103</v>
      </c>
      <c r="C107" s="4">
        <f>E107*C38*0.5</f>
        <v>12.149999999999999</v>
      </c>
      <c r="D107" s="4">
        <f>E107*D38</f>
        <v>48.599999999999994</v>
      </c>
      <c r="E107" s="4">
        <f>E37*0.03</f>
        <v>62.099999999999994</v>
      </c>
      <c r="F107" s="4">
        <f>E107*F38</f>
        <v>68.31</v>
      </c>
      <c r="G107" s="4">
        <f>E107*G38</f>
        <v>68.31</v>
      </c>
      <c r="H107" s="4">
        <f>E107*H38</f>
        <v>74.52</v>
      </c>
      <c r="I107" s="4"/>
      <c r="J107" s="1"/>
    </row>
    <row r="108" spans="1:10" ht="12.75">
      <c r="A108" s="1">
        <v>7150</v>
      </c>
      <c r="B108" s="1" t="s">
        <v>58</v>
      </c>
      <c r="C108" s="4">
        <f>E108*C38</f>
        <v>12.149999999999999</v>
      </c>
      <c r="D108" s="4">
        <f>E108*D38</f>
        <v>24.299999999999997</v>
      </c>
      <c r="E108" s="4">
        <f>E37*0.015</f>
        <v>31.049999999999997</v>
      </c>
      <c r="F108" s="4">
        <f>E108*F38</f>
        <v>34.155</v>
      </c>
      <c r="G108" s="4">
        <f>E108*G38*1.1</f>
        <v>37.5705</v>
      </c>
      <c r="H108" s="4">
        <f>E108*H38*1.25</f>
        <v>46.574999999999996</v>
      </c>
      <c r="I108" s="4"/>
      <c r="J108" s="1"/>
    </row>
    <row r="109" spans="1:10" ht="12.75">
      <c r="A109" s="1">
        <v>7170</v>
      </c>
      <c r="B109" s="1" t="s">
        <v>31</v>
      </c>
      <c r="C109" s="4">
        <f>E109*C38</f>
        <v>4.05</v>
      </c>
      <c r="D109" s="4">
        <f>E109*D38</f>
        <v>8.1</v>
      </c>
      <c r="E109" s="4">
        <f>E37*0.005</f>
        <v>10.35</v>
      </c>
      <c r="F109" s="4">
        <f>E109*F38</f>
        <v>11.385</v>
      </c>
      <c r="G109" s="4">
        <f>E109*G38</f>
        <v>11.385</v>
      </c>
      <c r="H109" s="4">
        <f>E109*H38</f>
        <v>12.42</v>
      </c>
      <c r="I109" s="4"/>
      <c r="J109" s="1"/>
    </row>
    <row r="110" spans="1:10" ht="12.75">
      <c r="A110" s="1">
        <v>7200</v>
      </c>
      <c r="B110" s="1" t="s">
        <v>32</v>
      </c>
      <c r="C110" s="4">
        <f>E110*C38</f>
        <v>72.89999999999999</v>
      </c>
      <c r="D110" s="4">
        <f>E110*D38</f>
        <v>145.79999999999998</v>
      </c>
      <c r="E110" s="4">
        <f>E37*0.09</f>
        <v>186.29999999999998</v>
      </c>
      <c r="F110" s="4">
        <f>E110*F38</f>
        <v>204.93</v>
      </c>
      <c r="G110" s="4">
        <f>E110*G38*1.2</f>
        <v>245.916</v>
      </c>
      <c r="H110" s="4">
        <f>E110*H38*1.4</f>
        <v>312.9839999999999</v>
      </c>
      <c r="I110" s="4"/>
      <c r="J110" s="1"/>
    </row>
    <row r="111" spans="1:10" ht="12.75">
      <c r="A111" s="1">
        <v>7310</v>
      </c>
      <c r="B111" s="1" t="s">
        <v>59</v>
      </c>
      <c r="C111" s="4">
        <f>E111*C38</f>
        <v>8.1</v>
      </c>
      <c r="D111" s="4">
        <f>E111*D38</f>
        <v>16.2</v>
      </c>
      <c r="E111" s="4">
        <f>E37*0.01</f>
        <v>20.7</v>
      </c>
      <c r="F111" s="4">
        <f>E111*F38</f>
        <v>22.77</v>
      </c>
      <c r="G111" s="4">
        <f>E111*G38</f>
        <v>22.77</v>
      </c>
      <c r="H111" s="4">
        <f>E111*H38</f>
        <v>24.84</v>
      </c>
      <c r="I111" s="4"/>
      <c r="J111" s="1"/>
    </row>
    <row r="112" spans="1:10" ht="12.75">
      <c r="A112" s="1">
        <v>7350</v>
      </c>
      <c r="B112" s="1" t="s">
        <v>60</v>
      </c>
      <c r="C112" s="4">
        <f>E112*C38</f>
        <v>20.25</v>
      </c>
      <c r="D112" s="4">
        <f>E112*D38</f>
        <v>40.5</v>
      </c>
      <c r="E112" s="4">
        <f>E37*0.025</f>
        <v>51.75</v>
      </c>
      <c r="F112" s="4">
        <f>E112*F38</f>
        <v>56.925000000000004</v>
      </c>
      <c r="G112" s="4">
        <f>E112*G38*1.15</f>
        <v>65.46375</v>
      </c>
      <c r="H112" s="4">
        <f>E112*H38*1.4</f>
        <v>86.93999999999998</v>
      </c>
      <c r="I112" s="4"/>
      <c r="J112" s="1"/>
    </row>
    <row r="113" spans="1:10" ht="12.75">
      <c r="A113" s="1">
        <v>7360</v>
      </c>
      <c r="B113" s="1" t="s">
        <v>33</v>
      </c>
      <c r="C113" s="4">
        <f>E113*C38</f>
        <v>4.05</v>
      </c>
      <c r="D113" s="4">
        <f>E113*D38</f>
        <v>8.1</v>
      </c>
      <c r="E113" s="4">
        <f>E37*0.005</f>
        <v>10.35</v>
      </c>
      <c r="F113" s="4">
        <f>E113*F38</f>
        <v>11.385</v>
      </c>
      <c r="G113" s="4">
        <f>E113*G38</f>
        <v>11.385</v>
      </c>
      <c r="H113" s="4">
        <f>E113*H38</f>
        <v>12.42</v>
      </c>
      <c r="I113" s="34"/>
      <c r="J113" s="1"/>
    </row>
    <row r="114" spans="1:10" ht="13.5" thickBot="1">
      <c r="A114" s="1">
        <v>7690</v>
      </c>
      <c r="B114" s="1" t="s">
        <v>61</v>
      </c>
      <c r="C114" s="4">
        <f>E114*C38</f>
        <v>24.299999999999997</v>
      </c>
      <c r="D114" s="4">
        <f>E114*D38</f>
        <v>48.599999999999994</v>
      </c>
      <c r="E114" s="4">
        <f>E37*0.03</f>
        <v>62.099999999999994</v>
      </c>
      <c r="F114" s="4">
        <f>E114*F38</f>
        <v>68.31</v>
      </c>
      <c r="G114" s="4">
        <f>E114*G38</f>
        <v>68.31</v>
      </c>
      <c r="H114" s="4">
        <f>E114*H38</f>
        <v>74.52</v>
      </c>
      <c r="I114" s="34"/>
      <c r="J114" s="1"/>
    </row>
    <row r="115" spans="1:10" ht="13.5" thickBot="1">
      <c r="A115" s="1"/>
      <c r="B115" s="10" t="s">
        <v>91</v>
      </c>
      <c r="C115" s="22">
        <f aca="true" t="shared" si="63" ref="C115:H115">SUM(C94:C114)</f>
        <v>360.1120000000001</v>
      </c>
      <c r="D115" s="23">
        <f t="shared" si="63"/>
        <v>623.5240000000001</v>
      </c>
      <c r="E115" s="23">
        <f t="shared" si="63"/>
        <v>763.1140000000001</v>
      </c>
      <c r="F115" s="23">
        <f t="shared" si="63"/>
        <v>829.5253999999998</v>
      </c>
      <c r="G115" s="23">
        <f t="shared" si="63"/>
        <v>908.4872499999999</v>
      </c>
      <c r="H115" s="24">
        <f t="shared" si="63"/>
        <v>1086.6873999999998</v>
      </c>
      <c r="I115" s="34"/>
      <c r="J115" s="1"/>
    </row>
    <row r="116" spans="1:10" ht="13.5" thickBot="1">
      <c r="A116" s="1"/>
      <c r="B116" s="9"/>
      <c r="C116" s="4"/>
      <c r="D116" s="4"/>
      <c r="E116" s="4"/>
      <c r="F116" s="4"/>
      <c r="G116" s="4"/>
      <c r="H116" s="4"/>
      <c r="J116" s="1"/>
    </row>
    <row r="117" spans="1:10" ht="13.5" thickBot="1">
      <c r="A117" s="6" t="s">
        <v>92</v>
      </c>
      <c r="C117" s="22">
        <f aca="true" t="shared" si="64" ref="C117:H117">C66-C73-C90-C115</f>
        <v>499.2254600000016</v>
      </c>
      <c r="D117" s="23">
        <f t="shared" si="64"/>
        <v>2118.6021200000005</v>
      </c>
      <c r="E117" s="23">
        <f t="shared" si="64"/>
        <v>2055.1854199999984</v>
      </c>
      <c r="F117" s="23">
        <f t="shared" si="64"/>
        <v>4379.422762000009</v>
      </c>
      <c r="G117" s="23">
        <f t="shared" si="64"/>
        <v>2476.6803696799952</v>
      </c>
      <c r="H117" s="24">
        <f t="shared" si="64"/>
        <v>3169.5019304000007</v>
      </c>
      <c r="I117" s="34"/>
      <c r="J117" s="1"/>
    </row>
    <row r="118" spans="1:10" ht="12.75">
      <c r="A118" s="1"/>
      <c r="B118" s="1"/>
      <c r="C118" s="4"/>
      <c r="D118" s="4"/>
      <c r="E118" s="4"/>
      <c r="F118" s="4"/>
      <c r="G118" s="4"/>
      <c r="H118" s="4"/>
      <c r="I118" s="34"/>
      <c r="J118" s="1"/>
    </row>
    <row r="119" spans="1:10" ht="12.75">
      <c r="A119" s="1"/>
      <c r="B119" s="1"/>
      <c r="C119" s="4"/>
      <c r="D119" s="4"/>
      <c r="E119" s="4"/>
      <c r="F119" s="4"/>
      <c r="G119" s="4"/>
      <c r="H119" s="4"/>
      <c r="I119" s="1"/>
      <c r="J119" s="1"/>
    </row>
    <row r="120" spans="1:10" ht="12.75">
      <c r="A120" s="6" t="s">
        <v>34</v>
      </c>
      <c r="C120" s="4"/>
      <c r="D120" s="4"/>
      <c r="E120" s="4"/>
      <c r="F120" s="4"/>
      <c r="G120" s="4"/>
      <c r="H120" s="4"/>
      <c r="I120" s="4"/>
      <c r="J120" s="1"/>
    </row>
    <row r="121" spans="1:10" ht="12.75">
      <c r="A121" s="1">
        <v>7911</v>
      </c>
      <c r="B121" s="1" t="s">
        <v>123</v>
      </c>
      <c r="C121" s="4">
        <f>E121*0.8</f>
        <v>310</v>
      </c>
      <c r="D121" s="4">
        <f>E121</f>
        <v>387.5</v>
      </c>
      <c r="E121" s="4">
        <f>3100/8</f>
        <v>387.5</v>
      </c>
      <c r="F121" s="4">
        <f>E121</f>
        <v>387.5</v>
      </c>
      <c r="G121" s="4">
        <f>E121</f>
        <v>387.5</v>
      </c>
      <c r="H121" s="4">
        <f>E121</f>
        <v>387.5</v>
      </c>
      <c r="I121" s="4"/>
      <c r="J121" s="1"/>
    </row>
    <row r="122" spans="1:10" ht="12.75">
      <c r="A122" s="1">
        <v>7912</v>
      </c>
      <c r="B122" s="1" t="s">
        <v>62</v>
      </c>
      <c r="C122" s="4">
        <v>20</v>
      </c>
      <c r="D122" s="4">
        <v>20</v>
      </c>
      <c r="E122" s="4">
        <f>100/5</f>
        <v>20</v>
      </c>
      <c r="F122" s="4">
        <v>20</v>
      </c>
      <c r="G122" s="4">
        <v>20</v>
      </c>
      <c r="H122" s="4">
        <v>20</v>
      </c>
      <c r="I122" s="4"/>
      <c r="J122" s="1"/>
    </row>
    <row r="123" spans="1:10" ht="12.75">
      <c r="A123" s="1">
        <v>7913</v>
      </c>
      <c r="B123" s="1" t="s">
        <v>63</v>
      </c>
      <c r="C123" s="4">
        <f>E123*0.5</f>
        <v>30</v>
      </c>
      <c r="D123" s="4">
        <f>E123*0.75</f>
        <v>45</v>
      </c>
      <c r="E123" s="4">
        <f>300/5</f>
        <v>60</v>
      </c>
      <c r="F123" s="4">
        <v>60</v>
      </c>
      <c r="G123" s="4">
        <v>60</v>
      </c>
      <c r="H123" s="4">
        <v>60</v>
      </c>
      <c r="I123" s="4"/>
      <c r="J123" s="1"/>
    </row>
    <row r="124" spans="1:10" ht="13.5" thickBot="1">
      <c r="A124" s="1">
        <v>7914</v>
      </c>
      <c r="B124" s="1" t="s">
        <v>121</v>
      </c>
      <c r="C124" s="4">
        <v>20</v>
      </c>
      <c r="D124" s="4">
        <v>20</v>
      </c>
      <c r="E124" s="4">
        <f>100/5</f>
        <v>20</v>
      </c>
      <c r="F124" s="4">
        <v>20</v>
      </c>
      <c r="G124" s="4">
        <v>20</v>
      </c>
      <c r="H124" s="4">
        <v>20</v>
      </c>
      <c r="I124" s="4"/>
      <c r="J124" s="1"/>
    </row>
    <row r="125" spans="1:10" ht="13.5" thickBot="1">
      <c r="A125" s="1"/>
      <c r="B125" s="9" t="s">
        <v>93</v>
      </c>
      <c r="C125" s="23">
        <f aca="true" t="shared" si="65" ref="C125:H125">SUM(C121:C124)</f>
        <v>380</v>
      </c>
      <c r="D125" s="23">
        <f t="shared" si="65"/>
        <v>472.5</v>
      </c>
      <c r="E125" s="23">
        <f t="shared" si="65"/>
        <v>487.5</v>
      </c>
      <c r="F125" s="23">
        <f t="shared" si="65"/>
        <v>487.5</v>
      </c>
      <c r="G125" s="23">
        <f t="shared" si="65"/>
        <v>487.5</v>
      </c>
      <c r="H125" s="23">
        <f t="shared" si="65"/>
        <v>487.5</v>
      </c>
      <c r="I125" s="4"/>
      <c r="J125" s="1"/>
    </row>
    <row r="126" spans="1:10" ht="13.5" thickBot="1">
      <c r="A126" s="1"/>
      <c r="B126" s="1"/>
      <c r="C126" s="4"/>
      <c r="D126" s="4"/>
      <c r="E126" s="4"/>
      <c r="F126" s="4"/>
      <c r="G126" s="4"/>
      <c r="H126" s="4"/>
      <c r="I126" s="4"/>
      <c r="J126" s="1"/>
    </row>
    <row r="127" spans="1:10" ht="13.5" thickBot="1">
      <c r="A127" s="6" t="s">
        <v>35</v>
      </c>
      <c r="C127" s="31">
        <f aca="true" t="shared" si="66" ref="C127:H127">C117-C125</f>
        <v>119.22546000000159</v>
      </c>
      <c r="D127" s="8">
        <f t="shared" si="66"/>
        <v>1646.1021200000005</v>
      </c>
      <c r="E127" s="8">
        <f t="shared" si="66"/>
        <v>1567.6854199999984</v>
      </c>
      <c r="F127" s="8">
        <f t="shared" si="66"/>
        <v>3891.9227620000092</v>
      </c>
      <c r="G127" s="8">
        <f t="shared" si="66"/>
        <v>1989.1803696799952</v>
      </c>
      <c r="H127" s="32">
        <f t="shared" si="66"/>
        <v>2682.0019304000007</v>
      </c>
      <c r="I127" s="4"/>
      <c r="J127" s="1"/>
    </row>
    <row r="128" spans="1:10" ht="12.75">
      <c r="A128" s="1"/>
      <c r="B128" s="1"/>
      <c r="C128" s="4"/>
      <c r="D128" s="4"/>
      <c r="E128" s="4"/>
      <c r="F128" s="4"/>
      <c r="G128" s="4"/>
      <c r="H128" s="4"/>
      <c r="I128" s="4"/>
      <c r="J128" s="1"/>
    </row>
    <row r="129" spans="3:10" ht="13.5" thickBot="1">
      <c r="C129" s="11"/>
      <c r="D129" s="11"/>
      <c r="E129" s="11"/>
      <c r="F129" s="11"/>
      <c r="G129" s="11"/>
      <c r="H129" s="11"/>
      <c r="I129" s="4"/>
      <c r="J129" s="1"/>
    </row>
    <row r="130" spans="1:10" ht="13.5" thickBot="1">
      <c r="A130" s="1">
        <v>9000</v>
      </c>
      <c r="B130" s="36" t="s">
        <v>104</v>
      </c>
      <c r="C130" s="31">
        <f>E130*0.5</f>
        <v>115</v>
      </c>
      <c r="D130" s="8">
        <f>E130*0.8</f>
        <v>184</v>
      </c>
      <c r="E130" s="8">
        <f>4600*0.05</f>
        <v>230</v>
      </c>
      <c r="F130" s="8">
        <f>E130</f>
        <v>230</v>
      </c>
      <c r="G130" s="8">
        <f>E130</f>
        <v>230</v>
      </c>
      <c r="H130" s="32">
        <f>E130</f>
        <v>230</v>
      </c>
      <c r="I130" s="4"/>
      <c r="J130" s="1"/>
    </row>
    <row r="131" spans="1:10" ht="12.75">
      <c r="A131" s="1"/>
      <c r="B131" s="36"/>
      <c r="C131" s="4"/>
      <c r="D131" s="4"/>
      <c r="E131" s="4"/>
      <c r="F131" s="4"/>
      <c r="G131" s="4"/>
      <c r="H131" s="4"/>
      <c r="I131" s="4"/>
      <c r="J131" s="1"/>
    </row>
    <row r="132" spans="2:10" ht="13.5" thickBot="1">
      <c r="B132" s="46"/>
      <c r="C132" s="11"/>
      <c r="D132" s="11"/>
      <c r="E132" s="11"/>
      <c r="F132" s="11"/>
      <c r="G132" s="11"/>
      <c r="H132" s="11"/>
      <c r="I132" s="4"/>
      <c r="J132" s="1"/>
    </row>
    <row r="133" spans="1:10" ht="13.5" thickBot="1">
      <c r="A133" s="1">
        <v>9001</v>
      </c>
      <c r="B133" s="36" t="s">
        <v>102</v>
      </c>
      <c r="C133" s="22">
        <f aca="true" t="shared" si="67" ref="C133:H133">C127-C130</f>
        <v>4.22546000000159</v>
      </c>
      <c r="D133" s="23">
        <f t="shared" si="67"/>
        <v>1462.1021200000005</v>
      </c>
      <c r="E133" s="23">
        <f t="shared" si="67"/>
        <v>1337.6854199999984</v>
      </c>
      <c r="F133" s="23">
        <f t="shared" si="67"/>
        <v>3661.9227620000092</v>
      </c>
      <c r="G133" s="23">
        <f t="shared" si="67"/>
        <v>1759.1803696799952</v>
      </c>
      <c r="H133" s="24">
        <f t="shared" si="67"/>
        <v>2452.0019304000007</v>
      </c>
      <c r="I133" s="4"/>
      <c r="J133" s="1"/>
    </row>
    <row r="134" spans="1:10" ht="12.75">
      <c r="A134" s="1"/>
      <c r="B134" s="1"/>
      <c r="C134" s="1"/>
      <c r="D134" s="1"/>
      <c r="E134" s="1"/>
      <c r="F134" s="1"/>
      <c r="G134" s="1"/>
      <c r="H134" s="1"/>
      <c r="I134" s="4"/>
      <c r="J134" s="1"/>
    </row>
    <row r="135" spans="2:10" ht="12.75">
      <c r="B135" s="9" t="s">
        <v>64</v>
      </c>
      <c r="C135" s="2">
        <f aca="true" t="shared" si="68" ref="C135:H135">C133/C66</f>
        <v>0.0006631855179192193</v>
      </c>
      <c r="D135" s="2">
        <f t="shared" si="68"/>
        <v>0.11091788471335741</v>
      </c>
      <c r="E135" s="2">
        <f t="shared" si="68"/>
        <v>0.07783028310004932</v>
      </c>
      <c r="F135" s="2">
        <f t="shared" si="68"/>
        <v>0.1773005707310522</v>
      </c>
      <c r="G135" s="2">
        <f t="shared" si="68"/>
        <v>0.0892307842519358</v>
      </c>
      <c r="H135" s="2">
        <f t="shared" si="68"/>
        <v>0.10882613382450988</v>
      </c>
      <c r="I135" s="4"/>
      <c r="J135" s="1"/>
    </row>
    <row r="136" spans="9:10" ht="12.75">
      <c r="I136" s="4"/>
      <c r="J136" s="1"/>
    </row>
    <row r="137" spans="9:10" ht="12.75">
      <c r="I137" s="4"/>
      <c r="J137" s="1"/>
    </row>
    <row r="138" spans="9:10" ht="12.75">
      <c r="I138" s="4"/>
      <c r="J138" s="1"/>
    </row>
    <row r="139" spans="9:10" ht="12.75">
      <c r="I139" s="4"/>
      <c r="J139" s="1"/>
    </row>
    <row r="140" spans="9:10" ht="12.75">
      <c r="I140" s="4"/>
      <c r="J140" s="1"/>
    </row>
    <row r="141" spans="9:10" ht="12.75">
      <c r="I141" s="45"/>
      <c r="J141" s="1"/>
    </row>
    <row r="142" spans="9:10" ht="12.75">
      <c r="I142" s="4"/>
      <c r="J142" s="1"/>
    </row>
    <row r="143" spans="9:10" ht="12.75">
      <c r="I143" s="45"/>
      <c r="J143" s="1"/>
    </row>
    <row r="144" spans="9:10" ht="12.75">
      <c r="I144" s="4"/>
      <c r="J144" s="1"/>
    </row>
    <row r="145" spans="9:10" ht="12.75">
      <c r="I145" s="4"/>
      <c r="J145" s="1"/>
    </row>
    <row r="146" spans="9:10" ht="12.75">
      <c r="I146" s="4"/>
      <c r="J146" s="1"/>
    </row>
    <row r="147" spans="9:10" ht="12.75">
      <c r="I147" s="4"/>
      <c r="J147" s="1"/>
    </row>
    <row r="148" spans="9:10" ht="12.75">
      <c r="I148" s="4"/>
      <c r="J148" s="1"/>
    </row>
    <row r="149" spans="9:10" ht="12.75">
      <c r="I149" s="4"/>
      <c r="J149" s="1"/>
    </row>
    <row r="150" spans="9:10" ht="12.75">
      <c r="I150" s="4"/>
      <c r="J150" s="1"/>
    </row>
    <row r="151" spans="9:10" ht="12.75">
      <c r="I151" s="45"/>
      <c r="J151" s="1"/>
    </row>
    <row r="152" spans="9:10" ht="12.75">
      <c r="I152" s="4"/>
      <c r="J152" s="1"/>
    </row>
    <row r="153" spans="9:10" ht="12.75">
      <c r="I153" s="34"/>
      <c r="J153" s="1"/>
    </row>
    <row r="154" spans="9:10" ht="12.75">
      <c r="I154" s="4"/>
      <c r="J154" s="1"/>
    </row>
    <row r="155" spans="9:10" ht="12.75">
      <c r="I155" s="11"/>
      <c r="J155" s="1"/>
    </row>
    <row r="156" spans="9:10" ht="12.75">
      <c r="I156" s="34"/>
      <c r="J156" s="1"/>
    </row>
    <row r="157" spans="9:10" ht="12.75">
      <c r="I157" s="4"/>
      <c r="J157" s="1"/>
    </row>
    <row r="158" spans="9:10" ht="12.75">
      <c r="I158" s="11"/>
      <c r="J158" s="1"/>
    </row>
    <row r="159" spans="9:10" ht="12.75">
      <c r="I159" s="45"/>
      <c r="J159" s="1"/>
    </row>
    <row r="160" spans="9:10" ht="12.75">
      <c r="I160" s="1"/>
      <c r="J160" s="1"/>
    </row>
    <row r="161" spans="9:10" ht="12.75">
      <c r="I161" s="2"/>
      <c r="J161" s="1"/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Footer>&amp;L&amp;"Times New Roman,Kursiv"&amp;8&amp;D&amp;T  , &amp;F   , &amp;P  (&amp;N)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Davoud</dc:creator>
  <cp:keywords/>
  <dc:description/>
  <cp:lastModifiedBy>PC-3075</cp:lastModifiedBy>
  <cp:lastPrinted>1999-07-08T20:19:32Z</cp:lastPrinted>
  <dcterms:created xsi:type="dcterms:W3CDTF">1997-09-28T09:53:39Z</dcterms:created>
  <dcterms:modified xsi:type="dcterms:W3CDTF">2013-08-16T20:28:34Z</dcterms:modified>
  <cp:category/>
  <cp:version/>
  <cp:contentType/>
  <cp:contentStatus/>
</cp:coreProperties>
</file>